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4385" yWindow="-15" windowWidth="14430" windowHeight="12750" tabRatio="834" activeTab="1"/>
  </bookViews>
  <sheets>
    <sheet name="はじめに（お読みください）" sheetId="111" r:id="rId1"/>
    <sheet name="共通条件・結果" sheetId="97" r:id="rId2"/>
    <sheet name="部位U計算" sheetId="120" r:id="rId3"/>
    <sheet name="Ａ（東）" sheetId="103" r:id="rId4"/>
    <sheet name="Ａ（西）" sheetId="107" r:id="rId5"/>
    <sheet name="Ａ（南）" sheetId="105" r:id="rId6"/>
    <sheet name="Ａ（北）" sheetId="92" r:id="rId7"/>
    <sheet name="Ａ（北東）" sheetId="102" r:id="rId8"/>
    <sheet name="Ａ（南東）" sheetId="104" r:id="rId9"/>
    <sheet name="Ａ（南西）" sheetId="106" r:id="rId10"/>
    <sheet name="Ａ（北西）" sheetId="108" r:id="rId11"/>
    <sheet name="Ｂ（屋根・床等）" sheetId="110" r:id="rId12"/>
    <sheet name="Ｃ（基礎）" sheetId="109" r:id="rId13"/>
    <sheet name="更新履歴" sheetId="101" r:id="rId14"/>
    <sheet name="AFGC更新履歴" sheetId="121" r:id="rId15"/>
    <sheet name="DATAｼｰﾄ" sheetId="117" r:id="rId16"/>
    <sheet name="(参照）窓データシート" sheetId="118" r:id="rId17"/>
    <sheet name="モデル住宅図面" sheetId="119" r:id="rId18"/>
  </sheets>
  <definedNames>
    <definedName name="_xlnm.Print_Area" localSheetId="4">'Ａ（西）'!$B$2:$AA$44</definedName>
    <definedName name="_xlnm.Print_Area" localSheetId="3">'Ａ（東）'!$B$2:$AA$44</definedName>
    <definedName name="_xlnm.Print_Area" localSheetId="5">'Ａ（南）'!$B$2:$AA$44</definedName>
    <definedName name="_xlnm.Print_Area" localSheetId="9">'Ａ（南西）'!$B$2:$AA$44</definedName>
    <definedName name="_xlnm.Print_Area" localSheetId="8">'Ａ（南東）'!$B$2:$AA$44</definedName>
    <definedName name="_xlnm.Print_Area" localSheetId="6">'Ａ（北）'!$B$2:$AA$44</definedName>
    <definedName name="_xlnm.Print_Area" localSheetId="10">'Ａ（北西）'!$B$2:$AA$44</definedName>
    <definedName name="_xlnm.Print_Area" localSheetId="7">'Ａ（北東）'!$B$2:$AA$44</definedName>
    <definedName name="_xlnm.Print_Area" localSheetId="11">'Ｂ（屋根・床等）'!$B$2:$AA$33</definedName>
    <definedName name="_xlnm.Print_Area" localSheetId="12">'Ｃ（基礎）'!$B$2:$AC$44</definedName>
    <definedName name="_xlnm.Print_Area" localSheetId="0">'はじめに（お読みください）'!$A$1:$B$8</definedName>
    <definedName name="_xlnm.Print_Area" localSheetId="1">共通条件・結果!$B$2:$AC$28</definedName>
    <definedName name="_xlnm.Print_Area" localSheetId="13">更新履歴!$B$2:$I$43</definedName>
    <definedName name="_xlnm.Print_Area" localSheetId="2">部位U計算!$A$1:$H$142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0" i="120" l="1"/>
  <c r="E63" i="120"/>
  <c r="G66" i="120" l="1"/>
  <c r="E45" i="120"/>
  <c r="D46" i="120"/>
  <c r="G46" i="120" s="1"/>
  <c r="D45" i="120"/>
  <c r="G45" i="120" s="1"/>
  <c r="D28" i="120"/>
  <c r="F28" i="120" s="1"/>
  <c r="F46" i="120" l="1"/>
  <c r="D95" i="120"/>
  <c r="D80" i="120"/>
  <c r="D62" i="120"/>
  <c r="F62" i="120" s="1"/>
  <c r="D63" i="120"/>
  <c r="G63" i="120" s="1"/>
  <c r="D61" i="120"/>
  <c r="D60" i="120"/>
  <c r="D43" i="120"/>
  <c r="D79" i="120" l="1"/>
  <c r="D137" i="120"/>
  <c r="D123" i="120"/>
  <c r="D109" i="120"/>
  <c r="F109" i="120" s="1"/>
  <c r="D94" i="120"/>
  <c r="D44" i="120"/>
  <c r="D27" i="120"/>
  <c r="F27" i="120" s="1"/>
  <c r="D26" i="120"/>
  <c r="D12" i="120"/>
  <c r="D10" i="120"/>
  <c r="F10" i="120" s="1"/>
  <c r="F137" i="120" l="1"/>
  <c r="D136" i="120"/>
  <c r="F136" i="120" s="1"/>
  <c r="F123" i="120"/>
  <c r="D122" i="120"/>
  <c r="F122" i="120" s="1"/>
  <c r="D108" i="120"/>
  <c r="F108" i="120" s="1"/>
  <c r="G80" i="120"/>
  <c r="F79" i="120"/>
  <c r="D11" i="120"/>
  <c r="F11" i="120" s="1"/>
  <c r="F95" i="120"/>
  <c r="F138" i="120"/>
  <c r="G140" i="120"/>
  <c r="G141" i="120" s="1"/>
  <c r="F110" i="120"/>
  <c r="G112" i="120"/>
  <c r="G113" i="120" s="1"/>
  <c r="F140" i="120" l="1"/>
  <c r="F141" i="120" s="1"/>
  <c r="F112" i="120"/>
  <c r="F113" i="120" s="1"/>
  <c r="D78" i="120"/>
  <c r="G78" i="120" s="1"/>
  <c r="D77" i="120"/>
  <c r="F77" i="120" s="1"/>
  <c r="G74" i="120"/>
  <c r="F74" i="120"/>
  <c r="F57" i="120"/>
  <c r="G57" i="120"/>
  <c r="F61" i="120"/>
  <c r="F60" i="120"/>
  <c r="G26" i="120"/>
  <c r="D29" i="120"/>
  <c r="G43" i="120"/>
  <c r="F44" i="120"/>
  <c r="E12" i="120"/>
  <c r="E29" i="120"/>
  <c r="G29" i="120" l="1"/>
  <c r="F142" i="120"/>
  <c r="F114" i="120"/>
  <c r="G76" i="120"/>
  <c r="G77" i="120"/>
  <c r="F78" i="120"/>
  <c r="F43" i="120"/>
  <c r="F26" i="120"/>
  <c r="G61" i="120"/>
  <c r="G60" i="120"/>
  <c r="G23" i="120"/>
  <c r="F23" i="120"/>
  <c r="G7" i="120"/>
  <c r="G12" i="120" s="1"/>
  <c r="F7" i="120"/>
  <c r="G14" i="120"/>
  <c r="F14" i="120"/>
  <c r="G13" i="120"/>
  <c r="F13" i="120"/>
  <c r="R35" i="108" l="1"/>
  <c r="R35" i="106"/>
  <c r="R35" i="104"/>
  <c r="R35" i="102"/>
  <c r="R35" i="92"/>
  <c r="R35" i="105"/>
  <c r="R35" i="107"/>
  <c r="R35" i="103"/>
  <c r="R37" i="108"/>
  <c r="R37" i="106"/>
  <c r="R37" i="104"/>
  <c r="R37" i="102"/>
  <c r="R37" i="92"/>
  <c r="R37" i="105"/>
  <c r="R37" i="107"/>
  <c r="R37" i="103"/>
  <c r="F16" i="120"/>
  <c r="F17" i="120" s="1"/>
  <c r="G10" i="120"/>
  <c r="G25" i="120"/>
  <c r="G32" i="120"/>
  <c r="G15" i="120"/>
  <c r="G9" i="120"/>
  <c r="G16" i="120" l="1"/>
  <c r="G17" i="120" s="1"/>
  <c r="F18" i="120" s="1"/>
  <c r="L18" i="110" s="1"/>
  <c r="G40" i="120" l="1"/>
  <c r="F40" i="120"/>
  <c r="G82" i="120"/>
  <c r="F82" i="120"/>
  <c r="G65" i="120"/>
  <c r="F65" i="120"/>
  <c r="G31" i="120"/>
  <c r="F31" i="120"/>
  <c r="G81" i="120"/>
  <c r="F81" i="120"/>
  <c r="G64" i="120"/>
  <c r="F64" i="120"/>
  <c r="G30" i="120"/>
  <c r="F30" i="120"/>
  <c r="F124" i="120"/>
  <c r="F96" i="120"/>
  <c r="F94" i="120"/>
  <c r="G83" i="120"/>
  <c r="F67" i="120" l="1"/>
  <c r="F68" i="120" s="1"/>
  <c r="F98" i="120"/>
  <c r="G59" i="120"/>
  <c r="G42" i="120"/>
  <c r="G49" i="120"/>
  <c r="G33" i="120"/>
  <c r="G34" i="120" s="1"/>
  <c r="F33" i="120"/>
  <c r="F34" i="120" s="1"/>
  <c r="G84" i="120"/>
  <c r="G85" i="120" s="1"/>
  <c r="F50" i="120"/>
  <c r="F51" i="120" s="1"/>
  <c r="F84" i="120"/>
  <c r="F85" i="120" s="1"/>
  <c r="F126" i="120"/>
  <c r="G126" i="120"/>
  <c r="G127" i="120" s="1"/>
  <c r="G98" i="120"/>
  <c r="G99" i="120" s="1"/>
  <c r="F127" i="120" l="1"/>
  <c r="F128" i="120" s="1"/>
  <c r="F99" i="120"/>
  <c r="F100" i="120" s="1"/>
  <c r="G67" i="120"/>
  <c r="G68" i="120" s="1"/>
  <c r="F69" i="120" s="1"/>
  <c r="L20" i="110" s="1"/>
  <c r="F86" i="120"/>
  <c r="L19" i="110" s="1"/>
  <c r="G50" i="120"/>
  <c r="G51" i="120" s="1"/>
  <c r="F52" i="120" s="1"/>
  <c r="R33" i="92" s="1"/>
  <c r="F35" i="120"/>
  <c r="L17" i="110" s="1"/>
  <c r="N33" i="108"/>
  <c r="N33" i="106"/>
  <c r="N33" i="104"/>
  <c r="N33" i="102"/>
  <c r="N33" i="103"/>
  <c r="R34" i="103" l="1"/>
  <c r="R34" i="105"/>
  <c r="R34" i="107"/>
  <c r="R34" i="108"/>
  <c r="R34" i="106"/>
  <c r="R34" i="104"/>
  <c r="R34" i="102"/>
  <c r="R34" i="92"/>
  <c r="R36" i="108"/>
  <c r="R36" i="106"/>
  <c r="R36" i="104"/>
  <c r="R36" i="102"/>
  <c r="R36" i="92"/>
  <c r="R36" i="105"/>
  <c r="R36" i="107"/>
  <c r="R36" i="103"/>
  <c r="R33" i="103"/>
  <c r="R33" i="108"/>
  <c r="R33" i="106"/>
  <c r="R33" i="105"/>
  <c r="R33" i="104"/>
  <c r="R33" i="107"/>
  <c r="R33" i="102"/>
  <c r="P17" i="110" l="1"/>
  <c r="V33" i="108"/>
  <c r="V33" i="106"/>
  <c r="V33" i="104"/>
  <c r="Q41" i="107"/>
  <c r="P34" i="105"/>
  <c r="P35" i="105"/>
  <c r="P36" i="105"/>
  <c r="P37" i="105"/>
  <c r="Z37" i="105" s="1"/>
  <c r="U41" i="108"/>
  <c r="Q41" i="108"/>
  <c r="U41" i="107"/>
  <c r="U41" i="106"/>
  <c r="Q41" i="106"/>
  <c r="U41" i="105"/>
  <c r="Q41" i="105"/>
  <c r="N33" i="105" s="1"/>
  <c r="P33" i="105" s="1"/>
  <c r="U41" i="104"/>
  <c r="Q41" i="104"/>
  <c r="U41" i="103"/>
  <c r="Q41" i="103"/>
  <c r="U41" i="102"/>
  <c r="Q41" i="102"/>
  <c r="U41" i="92"/>
  <c r="Q41" i="92"/>
  <c r="AF35" i="108"/>
  <c r="AE35" i="108"/>
  <c r="AF34" i="108"/>
  <c r="AE34" i="108"/>
  <c r="P34" i="108"/>
  <c r="Z34" i="108"/>
  <c r="P35" i="108"/>
  <c r="Z35" i="108" s="1"/>
  <c r="AO26" i="108"/>
  <c r="AN26" i="108"/>
  <c r="Z26" i="108"/>
  <c r="AO13" i="108"/>
  <c r="AN13" i="108"/>
  <c r="Z13" i="108"/>
  <c r="AL13" i="108"/>
  <c r="AI13" i="108"/>
  <c r="AK13" i="108"/>
  <c r="AH13" i="108"/>
  <c r="AO12" i="108"/>
  <c r="AN12" i="108"/>
  <c r="Z12" i="108"/>
  <c r="AL12" i="108"/>
  <c r="AI12" i="108"/>
  <c r="AK12" i="108"/>
  <c r="AH12" i="108"/>
  <c r="AF35" i="107"/>
  <c r="AE35" i="107"/>
  <c r="AF34" i="107"/>
  <c r="AE34" i="107"/>
  <c r="P35" i="107"/>
  <c r="Z35" i="107" s="1"/>
  <c r="P34" i="107"/>
  <c r="Z34" i="107" s="1"/>
  <c r="V34" i="107"/>
  <c r="AO26" i="107"/>
  <c r="AN26" i="107"/>
  <c r="Z26" i="107"/>
  <c r="AO13" i="107"/>
  <c r="AN13" i="107"/>
  <c r="Z13" i="107"/>
  <c r="AL13" i="107"/>
  <c r="AI13" i="107"/>
  <c r="AK13" i="107"/>
  <c r="AH13" i="107"/>
  <c r="AO12" i="107"/>
  <c r="AN12" i="107"/>
  <c r="Z12" i="107"/>
  <c r="AL12" i="107"/>
  <c r="AI12" i="107"/>
  <c r="AK12" i="107"/>
  <c r="AH12" i="107"/>
  <c r="AF35" i="106"/>
  <c r="AE35" i="106"/>
  <c r="AF34" i="106"/>
  <c r="AE34" i="106"/>
  <c r="P35" i="106"/>
  <c r="Z35" i="106" s="1"/>
  <c r="P34" i="106"/>
  <c r="Z34" i="106" s="1"/>
  <c r="AO26" i="106"/>
  <c r="AN26" i="106"/>
  <c r="Z26" i="106"/>
  <c r="AO13" i="106"/>
  <c r="AN13" i="106"/>
  <c r="Z13" i="106"/>
  <c r="AL13" i="106"/>
  <c r="AI13" i="106"/>
  <c r="AK13" i="106"/>
  <c r="AH13" i="106" s="1"/>
  <c r="AO12" i="106"/>
  <c r="AN12" i="106"/>
  <c r="Z12" i="106"/>
  <c r="AL12" i="106"/>
  <c r="AI12" i="106"/>
  <c r="AK12" i="106"/>
  <c r="AH12" i="106" s="1"/>
  <c r="AF35" i="105"/>
  <c r="AE35" i="105"/>
  <c r="AF34" i="105"/>
  <c r="AE34" i="105"/>
  <c r="Z35" i="105"/>
  <c r="Z34" i="105"/>
  <c r="AO26" i="105"/>
  <c r="AN26" i="105"/>
  <c r="Z26" i="105"/>
  <c r="AO13" i="105"/>
  <c r="AN13" i="105"/>
  <c r="Z13" i="105"/>
  <c r="AL13" i="105"/>
  <c r="AI13" i="105"/>
  <c r="AK13" i="105"/>
  <c r="AH13" i="105" s="1"/>
  <c r="AD13" i="105" s="1"/>
  <c r="V13" i="105" s="1"/>
  <c r="AO12" i="105"/>
  <c r="AN12" i="105"/>
  <c r="Z12" i="105"/>
  <c r="AL12" i="105"/>
  <c r="AI12" i="105"/>
  <c r="AK12" i="105"/>
  <c r="AH12" i="105" s="1"/>
  <c r="P35" i="103"/>
  <c r="Z35" i="103" s="1"/>
  <c r="P34" i="103"/>
  <c r="V34" i="103" s="1"/>
  <c r="AF35" i="104"/>
  <c r="AE35" i="104"/>
  <c r="AF34" i="104"/>
  <c r="AE34" i="104"/>
  <c r="P35" i="104"/>
  <c r="Z35" i="104"/>
  <c r="P34" i="104"/>
  <c r="Z34" i="104" s="1"/>
  <c r="AO26" i="104"/>
  <c r="AN26" i="104"/>
  <c r="Z26" i="104"/>
  <c r="AO13" i="104"/>
  <c r="AN13" i="104"/>
  <c r="Z13" i="104"/>
  <c r="AL13" i="104"/>
  <c r="AI13" i="104"/>
  <c r="AK13" i="104"/>
  <c r="AH13" i="104" s="1"/>
  <c r="AD13" i="104" s="1"/>
  <c r="AO12" i="104"/>
  <c r="AN12" i="104"/>
  <c r="Z12" i="104"/>
  <c r="AL12" i="104"/>
  <c r="AI12" i="104"/>
  <c r="AK12" i="104"/>
  <c r="AH12" i="104" s="1"/>
  <c r="AF35" i="103"/>
  <c r="AE35" i="103"/>
  <c r="AF34" i="103"/>
  <c r="AE34" i="103"/>
  <c r="AO26" i="103"/>
  <c r="AN26" i="103"/>
  <c r="Z26" i="103"/>
  <c r="AO13" i="103"/>
  <c r="AN13" i="103"/>
  <c r="Z13" i="103"/>
  <c r="AL13" i="103"/>
  <c r="AI13" i="103"/>
  <c r="AK13" i="103"/>
  <c r="AH13" i="103"/>
  <c r="AO12" i="103"/>
  <c r="AN12" i="103"/>
  <c r="Z12" i="103"/>
  <c r="AL12" i="103"/>
  <c r="AI12" i="103"/>
  <c r="AK12" i="103"/>
  <c r="AH12" i="103"/>
  <c r="AF35" i="102"/>
  <c r="AE35" i="102"/>
  <c r="AF34" i="102"/>
  <c r="AE34" i="102"/>
  <c r="P35" i="102"/>
  <c r="Z35" i="102" s="1"/>
  <c r="V35" i="102"/>
  <c r="P34" i="102"/>
  <c r="Z34" i="102" s="1"/>
  <c r="V34" i="102"/>
  <c r="AO26" i="102"/>
  <c r="AN26" i="102"/>
  <c r="Z26" i="102"/>
  <c r="AO13" i="102"/>
  <c r="AN13" i="102"/>
  <c r="Z13" i="102"/>
  <c r="AL13" i="102"/>
  <c r="AI13" i="102"/>
  <c r="AK13" i="102"/>
  <c r="AH13" i="102"/>
  <c r="AO12" i="102"/>
  <c r="AN12" i="102"/>
  <c r="Z12" i="102"/>
  <c r="AL12" i="102"/>
  <c r="AI12" i="102"/>
  <c r="AK12" i="102"/>
  <c r="AH12" i="102"/>
  <c r="AF35" i="92"/>
  <c r="AE35" i="92"/>
  <c r="P35" i="92"/>
  <c r="Z35" i="92" s="1"/>
  <c r="AF34" i="92"/>
  <c r="AE34" i="92"/>
  <c r="P34" i="92"/>
  <c r="V34" i="92" s="1"/>
  <c r="AO13" i="92"/>
  <c r="AN13" i="92"/>
  <c r="Z13" i="92"/>
  <c r="AL13" i="92"/>
  <c r="AI13" i="92"/>
  <c r="AK13" i="92"/>
  <c r="AH13" i="92"/>
  <c r="AO26" i="92"/>
  <c r="AN26" i="92"/>
  <c r="Z26" i="92"/>
  <c r="AO27" i="92"/>
  <c r="AN27" i="92"/>
  <c r="AO12" i="92"/>
  <c r="AN12" i="92"/>
  <c r="Z12" i="92"/>
  <c r="AL12" i="92"/>
  <c r="AI12" i="92"/>
  <c r="AE12" i="92" s="1"/>
  <c r="X12" i="92" s="1"/>
  <c r="AK12" i="92"/>
  <c r="AH12" i="92"/>
  <c r="X4" i="108"/>
  <c r="P33" i="108"/>
  <c r="X4" i="107"/>
  <c r="AE13" i="107" s="1"/>
  <c r="X4" i="106"/>
  <c r="AE8" i="106" s="1"/>
  <c r="AL8" i="106"/>
  <c r="AI8" i="106"/>
  <c r="X4" i="105"/>
  <c r="AE13" i="105" s="1"/>
  <c r="X13" i="105" s="1"/>
  <c r="X36" i="105"/>
  <c r="AL8" i="105"/>
  <c r="AI8" i="105"/>
  <c r="AE8" i="105" s="1"/>
  <c r="X8" i="105" s="1"/>
  <c r="X4" i="104"/>
  <c r="AE13" i="104" s="1"/>
  <c r="X27" i="104"/>
  <c r="AL8" i="104"/>
  <c r="AI8" i="104"/>
  <c r="X4" i="103"/>
  <c r="AE11" i="103" s="1"/>
  <c r="AL11" i="103"/>
  <c r="AI11" i="103"/>
  <c r="X11" i="103"/>
  <c r="AL9" i="102"/>
  <c r="AI9" i="102"/>
  <c r="AE9" i="102" s="1"/>
  <c r="X4" i="102"/>
  <c r="AE13" i="102" s="1"/>
  <c r="AL19" i="102"/>
  <c r="AI19" i="102"/>
  <c r="X19" i="102"/>
  <c r="AL8" i="102"/>
  <c r="AI8" i="102"/>
  <c r="AL9" i="92"/>
  <c r="AI9" i="92"/>
  <c r="X4" i="92"/>
  <c r="X27" i="92"/>
  <c r="Z23" i="109"/>
  <c r="Z22" i="109"/>
  <c r="AB22" i="109" s="1"/>
  <c r="Z21" i="109"/>
  <c r="Z20" i="109"/>
  <c r="Z19" i="109"/>
  <c r="AH19" i="109"/>
  <c r="AE23" i="109"/>
  <c r="AH23" i="109"/>
  <c r="AE21" i="109"/>
  <c r="AG21" i="109"/>
  <c r="AB21" i="109" s="1"/>
  <c r="AH21" i="109"/>
  <c r="AH20" i="109"/>
  <c r="AE20" i="109"/>
  <c r="D34" i="109"/>
  <c r="B34" i="109"/>
  <c r="D33" i="109"/>
  <c r="B33" i="109"/>
  <c r="D32" i="109"/>
  <c r="B32" i="109"/>
  <c r="D31" i="109"/>
  <c r="B31" i="109"/>
  <c r="D30" i="109"/>
  <c r="B30" i="109"/>
  <c r="AK23" i="109"/>
  <c r="AJ23" i="109"/>
  <c r="D23" i="109"/>
  <c r="B23" i="109"/>
  <c r="AK22" i="109"/>
  <c r="AJ22" i="109"/>
  <c r="AH22" i="109"/>
  <c r="AE22" i="109"/>
  <c r="AG22" i="109" s="1"/>
  <c r="D22" i="109"/>
  <c r="B22" i="109"/>
  <c r="AK21" i="109"/>
  <c r="AI21" i="109" s="1"/>
  <c r="AJ21" i="109"/>
  <c r="D21" i="109"/>
  <c r="B21" i="109"/>
  <c r="AK20" i="109"/>
  <c r="AJ20" i="109"/>
  <c r="D20" i="109"/>
  <c r="B20" i="109"/>
  <c r="AK19" i="109"/>
  <c r="AI19" i="109"/>
  <c r="AJ19" i="109"/>
  <c r="AE19" i="109"/>
  <c r="D19" i="109"/>
  <c r="B19" i="109"/>
  <c r="H12" i="109"/>
  <c r="T30" i="110"/>
  <c r="AD24" i="110"/>
  <c r="P24" i="110"/>
  <c r="N24" i="110"/>
  <c r="J24" i="110"/>
  <c r="R24" i="110"/>
  <c r="AD23" i="110"/>
  <c r="P23" i="110"/>
  <c r="N23" i="110"/>
  <c r="J23" i="110"/>
  <c r="R23" i="110"/>
  <c r="AD22" i="110"/>
  <c r="P22" i="110"/>
  <c r="J22" i="110"/>
  <c r="R22" i="110"/>
  <c r="AD21" i="110"/>
  <c r="J21" i="110"/>
  <c r="R21" i="110"/>
  <c r="P21" i="110"/>
  <c r="N21" i="110"/>
  <c r="AD20" i="110"/>
  <c r="P20" i="110"/>
  <c r="N20" i="110"/>
  <c r="J20" i="110"/>
  <c r="R20" i="110" s="1"/>
  <c r="AD19" i="110"/>
  <c r="P19" i="110"/>
  <c r="J19" i="110"/>
  <c r="R19" i="110" s="1"/>
  <c r="AD18" i="110"/>
  <c r="J18" i="110"/>
  <c r="AD17" i="110"/>
  <c r="J17" i="110"/>
  <c r="AH11" i="110"/>
  <c r="P11" i="110"/>
  <c r="AG11" i="110"/>
  <c r="N11" i="110"/>
  <c r="AE11" i="110"/>
  <c r="AD11" i="110"/>
  <c r="R11" i="110"/>
  <c r="AH10" i="110"/>
  <c r="P10" i="110"/>
  <c r="AG10" i="110"/>
  <c r="N10" i="110"/>
  <c r="AE10" i="110"/>
  <c r="AD10" i="110"/>
  <c r="R10" i="110"/>
  <c r="AH9" i="110"/>
  <c r="P9" i="110"/>
  <c r="AG9" i="110"/>
  <c r="N9" i="110"/>
  <c r="AE9" i="110"/>
  <c r="AD9" i="110"/>
  <c r="R9" i="110"/>
  <c r="AH8" i="110"/>
  <c r="P8" i="110"/>
  <c r="AG8" i="110"/>
  <c r="N8" i="110"/>
  <c r="AE8" i="110"/>
  <c r="AD8" i="110"/>
  <c r="R8" i="110"/>
  <c r="AH7" i="110"/>
  <c r="P7" i="110"/>
  <c r="AG7" i="110"/>
  <c r="N7" i="110"/>
  <c r="AE7" i="110"/>
  <c r="AD7" i="110"/>
  <c r="R7" i="110"/>
  <c r="AF37" i="108"/>
  <c r="AE37" i="108"/>
  <c r="P37" i="108"/>
  <c r="Z37" i="108"/>
  <c r="AF36" i="108"/>
  <c r="AE36" i="108"/>
  <c r="P36" i="108"/>
  <c r="Z36" i="108"/>
  <c r="AF33" i="108"/>
  <c r="AE33" i="108"/>
  <c r="V4" i="108"/>
  <c r="AD13" i="108" s="1"/>
  <c r="AK9" i="108"/>
  <c r="AH9" i="108"/>
  <c r="V9" i="108"/>
  <c r="AO27" i="108"/>
  <c r="AN27" i="108"/>
  <c r="Z27" i="108"/>
  <c r="AO25" i="108"/>
  <c r="AN25" i="108"/>
  <c r="Z25" i="108"/>
  <c r="AO19" i="108"/>
  <c r="AN19" i="108"/>
  <c r="Z19" i="108"/>
  <c r="AL19" i="108"/>
  <c r="AI19" i="108"/>
  <c r="AE19" i="108"/>
  <c r="AK19" i="108"/>
  <c r="AH19" i="108"/>
  <c r="AO18" i="108"/>
  <c r="AN18" i="108"/>
  <c r="Z18" i="108"/>
  <c r="AL18" i="108"/>
  <c r="AI18" i="108"/>
  <c r="AK18" i="108"/>
  <c r="AH18" i="108"/>
  <c r="AO17" i="108"/>
  <c r="AN17" i="108"/>
  <c r="Z17" i="108"/>
  <c r="AL17" i="108"/>
  <c r="AI17" i="108"/>
  <c r="AK17" i="108"/>
  <c r="AH17" i="108"/>
  <c r="AO16" i="108"/>
  <c r="AN16" i="108"/>
  <c r="Z16" i="108"/>
  <c r="AL16" i="108"/>
  <c r="AI16" i="108"/>
  <c r="AE16" i="108"/>
  <c r="AK16" i="108"/>
  <c r="AH16" i="108"/>
  <c r="AD16" i="108"/>
  <c r="AO15" i="108"/>
  <c r="AN15" i="108"/>
  <c r="Z15" i="108"/>
  <c r="AL15" i="108"/>
  <c r="AI15" i="108"/>
  <c r="AE15" i="108"/>
  <c r="AK15" i="108"/>
  <c r="AH15" i="108"/>
  <c r="AO14" i="108"/>
  <c r="AN14" i="108"/>
  <c r="Z14" i="108"/>
  <c r="AL14" i="108"/>
  <c r="AI14" i="108"/>
  <c r="AE14" i="108"/>
  <c r="AK14" i="108"/>
  <c r="AH14" i="108"/>
  <c r="AO11" i="108"/>
  <c r="AN11" i="108"/>
  <c r="Z11" i="108"/>
  <c r="AL11" i="108"/>
  <c r="AI11" i="108"/>
  <c r="AE11" i="108"/>
  <c r="AK11" i="108"/>
  <c r="AH11" i="108"/>
  <c r="AO10" i="108"/>
  <c r="AN10" i="108"/>
  <c r="Z10" i="108"/>
  <c r="AL10" i="108"/>
  <c r="AI10" i="108"/>
  <c r="AK10" i="108"/>
  <c r="AH10" i="108"/>
  <c r="AO9" i="108"/>
  <c r="AN9" i="108"/>
  <c r="Z9" i="108"/>
  <c r="AL9" i="108"/>
  <c r="AI9" i="108"/>
  <c r="AE9" i="108"/>
  <c r="AO8" i="108"/>
  <c r="AN8" i="108"/>
  <c r="Z8" i="108"/>
  <c r="AL8" i="108"/>
  <c r="AK8" i="108"/>
  <c r="AH8" i="108"/>
  <c r="AD8" i="108"/>
  <c r="AI8" i="108"/>
  <c r="AF37" i="107"/>
  <c r="AE37" i="107"/>
  <c r="P37" i="107"/>
  <c r="Z37" i="107" s="1"/>
  <c r="AF36" i="107"/>
  <c r="AE36" i="107"/>
  <c r="P36" i="107"/>
  <c r="Z36" i="107" s="1"/>
  <c r="AF33" i="107"/>
  <c r="AE33" i="107"/>
  <c r="V4" i="107"/>
  <c r="AD12" i="107" s="1"/>
  <c r="AO27" i="107"/>
  <c r="AN27" i="107"/>
  <c r="Z27" i="107"/>
  <c r="AO25" i="107"/>
  <c r="AN25" i="107"/>
  <c r="Z25" i="107" s="1"/>
  <c r="Z28" i="107" s="1"/>
  <c r="AO19" i="107"/>
  <c r="AN19" i="107"/>
  <c r="Z19" i="107"/>
  <c r="AL19" i="107"/>
  <c r="AI19" i="107"/>
  <c r="AE19" i="107"/>
  <c r="AK19" i="107"/>
  <c r="AH19" i="107"/>
  <c r="AO18" i="107"/>
  <c r="AN18" i="107"/>
  <c r="Z18" i="107"/>
  <c r="AL18" i="107"/>
  <c r="AI18" i="107"/>
  <c r="AK18" i="107"/>
  <c r="AH18" i="107"/>
  <c r="AO17" i="107"/>
  <c r="AN17" i="107"/>
  <c r="Z17" i="107"/>
  <c r="AL17" i="107"/>
  <c r="AI17" i="107"/>
  <c r="AE17" i="107"/>
  <c r="AK17" i="107"/>
  <c r="AH17" i="107"/>
  <c r="AO16" i="107"/>
  <c r="AN16" i="107"/>
  <c r="Z16" i="107"/>
  <c r="AL16" i="107"/>
  <c r="AI16" i="107"/>
  <c r="AE16" i="107"/>
  <c r="AK16" i="107"/>
  <c r="AH16" i="107"/>
  <c r="AO15" i="107"/>
  <c r="AN15" i="107"/>
  <c r="Z15" i="107"/>
  <c r="AL15" i="107"/>
  <c r="AI15" i="107"/>
  <c r="AK15" i="107"/>
  <c r="AH15" i="107"/>
  <c r="AO14" i="107"/>
  <c r="AN14" i="107"/>
  <c r="Z14" i="107"/>
  <c r="AL14" i="107"/>
  <c r="AI14" i="107"/>
  <c r="AE14" i="107"/>
  <c r="AK14" i="107"/>
  <c r="AH14" i="107"/>
  <c r="AO11" i="107"/>
  <c r="AN11" i="107"/>
  <c r="Z11" i="107"/>
  <c r="AL11" i="107"/>
  <c r="AI11" i="107"/>
  <c r="AE11" i="107"/>
  <c r="AK11" i="107"/>
  <c r="AH11" i="107"/>
  <c r="AO10" i="107"/>
  <c r="AN10" i="107"/>
  <c r="Z10" i="107"/>
  <c r="AL10" i="107"/>
  <c r="AI10" i="107"/>
  <c r="AK10" i="107"/>
  <c r="AH10" i="107"/>
  <c r="AO9" i="107"/>
  <c r="AN9" i="107"/>
  <c r="Z9" i="107" s="1"/>
  <c r="AL9" i="107"/>
  <c r="AI9" i="107"/>
  <c r="AE9" i="107" s="1"/>
  <c r="X9" i="107" s="1"/>
  <c r="AK9" i="107"/>
  <c r="AH9" i="107"/>
  <c r="AO8" i="107"/>
  <c r="AN8" i="107"/>
  <c r="Z8" i="107"/>
  <c r="AL8" i="107"/>
  <c r="AI8" i="107"/>
  <c r="AE8" i="107"/>
  <c r="X8" i="107" s="1"/>
  <c r="AK8" i="107"/>
  <c r="AH8" i="107"/>
  <c r="P33" i="106"/>
  <c r="AF37" i="106"/>
  <c r="AE37" i="106"/>
  <c r="P37" i="106"/>
  <c r="Z37" i="106"/>
  <c r="AF36" i="106"/>
  <c r="AE36" i="106"/>
  <c r="P36" i="106"/>
  <c r="Z36" i="106"/>
  <c r="AF33" i="106"/>
  <c r="AE33" i="106"/>
  <c r="V4" i="106"/>
  <c r="AD13" i="106" s="1"/>
  <c r="V27" i="106"/>
  <c r="AO27" i="106"/>
  <c r="AN27" i="106"/>
  <c r="Z27" i="106"/>
  <c r="AO25" i="106"/>
  <c r="AN25" i="106"/>
  <c r="Z25" i="106"/>
  <c r="AO19" i="106"/>
  <c r="AN19" i="106"/>
  <c r="Z19" i="106"/>
  <c r="AL19" i="106"/>
  <c r="AI19" i="106"/>
  <c r="AE19" i="106"/>
  <c r="AK19" i="106"/>
  <c r="AH19" i="106" s="1"/>
  <c r="AD19" i="106" s="1"/>
  <c r="AO18" i="106"/>
  <c r="AN18" i="106"/>
  <c r="Z18" i="106"/>
  <c r="AL18" i="106"/>
  <c r="AI18" i="106"/>
  <c r="AK18" i="106"/>
  <c r="AH18" i="106" s="1"/>
  <c r="AD18" i="106" s="1"/>
  <c r="AO17" i="106"/>
  <c r="AN17" i="106"/>
  <c r="Z17" i="106"/>
  <c r="AL17" i="106"/>
  <c r="AI17" i="106"/>
  <c r="AK17" i="106"/>
  <c r="AH17" i="106"/>
  <c r="AO16" i="106"/>
  <c r="AN16" i="106"/>
  <c r="Z16" i="106"/>
  <c r="AL16" i="106"/>
  <c r="AI16" i="106"/>
  <c r="AK16" i="106"/>
  <c r="AH16" i="106" s="1"/>
  <c r="AO15" i="106"/>
  <c r="AN15" i="106"/>
  <c r="AL15" i="106"/>
  <c r="AI15" i="106"/>
  <c r="AK15" i="106"/>
  <c r="AH15" i="106" s="1"/>
  <c r="Z15" i="106"/>
  <c r="AO14" i="106"/>
  <c r="AN14" i="106"/>
  <c r="Z14" i="106"/>
  <c r="AL14" i="106"/>
  <c r="AI14" i="106"/>
  <c r="AK14" i="106"/>
  <c r="AH14" i="106" s="1"/>
  <c r="AD14" i="106" s="1"/>
  <c r="AO11" i="106"/>
  <c r="AN11" i="106"/>
  <c r="Z11" i="106"/>
  <c r="AL11" i="106"/>
  <c r="AI11" i="106"/>
  <c r="AE11" i="106"/>
  <c r="AK11" i="106"/>
  <c r="AH11" i="106" s="1"/>
  <c r="AD11" i="106" s="1"/>
  <c r="AO10" i="106"/>
  <c r="AN10" i="106"/>
  <c r="Z10" i="106"/>
  <c r="AL10" i="106"/>
  <c r="AI10" i="106"/>
  <c r="AK10" i="106"/>
  <c r="AH10" i="106" s="1"/>
  <c r="AD10" i="106" s="1"/>
  <c r="AO9" i="106"/>
  <c r="AN9" i="106"/>
  <c r="Z9" i="106"/>
  <c r="AL9" i="106"/>
  <c r="AI9" i="106"/>
  <c r="AK9" i="106"/>
  <c r="AH9" i="106" s="1"/>
  <c r="AO8" i="106"/>
  <c r="AN8" i="106"/>
  <c r="AK8" i="106"/>
  <c r="AH8" i="106" s="1"/>
  <c r="Z8" i="106"/>
  <c r="AF37" i="105"/>
  <c r="AE37" i="105"/>
  <c r="AF36" i="105"/>
  <c r="AE36" i="105"/>
  <c r="Z36" i="105"/>
  <c r="AF33" i="105"/>
  <c r="AE33" i="105"/>
  <c r="V4" i="105"/>
  <c r="V27" i="105"/>
  <c r="AO27" i="105"/>
  <c r="AN27" i="105"/>
  <c r="Z27" i="105"/>
  <c r="AO25" i="105"/>
  <c r="AN25" i="105"/>
  <c r="Z25" i="105"/>
  <c r="AO19" i="105"/>
  <c r="AN19" i="105"/>
  <c r="Z19" i="105"/>
  <c r="AL19" i="105"/>
  <c r="AI19" i="105"/>
  <c r="AE19" i="105"/>
  <c r="AK19" i="105"/>
  <c r="AH19" i="105"/>
  <c r="AD19" i="105" s="1"/>
  <c r="AO18" i="105"/>
  <c r="AN18" i="105"/>
  <c r="Z18" i="105"/>
  <c r="AL18" i="105"/>
  <c r="AI18" i="105"/>
  <c r="AK18" i="105"/>
  <c r="AH18" i="105"/>
  <c r="AD18" i="105" s="1"/>
  <c r="AO17" i="105"/>
  <c r="AN17" i="105"/>
  <c r="Z17" i="105"/>
  <c r="AL17" i="105"/>
  <c r="AK17" i="105"/>
  <c r="AH17" i="105" s="1"/>
  <c r="AD17" i="105" s="1"/>
  <c r="AI17" i="105"/>
  <c r="AO16" i="105"/>
  <c r="AN16" i="105"/>
  <c r="Z16" i="105"/>
  <c r="AL16" i="105"/>
  <c r="AK16" i="105"/>
  <c r="AH16" i="105" s="1"/>
  <c r="AD16" i="105" s="1"/>
  <c r="AI16" i="105"/>
  <c r="AO15" i="105"/>
  <c r="AN15" i="105"/>
  <c r="Z15" i="105"/>
  <c r="AL15" i="105"/>
  <c r="AK15" i="105"/>
  <c r="AH15" i="105" s="1"/>
  <c r="AD15" i="105" s="1"/>
  <c r="AI15" i="105"/>
  <c r="AO14" i="105"/>
  <c r="AN14" i="105"/>
  <c r="Z14" i="105"/>
  <c r="AL14" i="105"/>
  <c r="AI14" i="105"/>
  <c r="AK14" i="105"/>
  <c r="AH14" i="105" s="1"/>
  <c r="AD14" i="105" s="1"/>
  <c r="AO11" i="105"/>
  <c r="AN11" i="105"/>
  <c r="Z11" i="105"/>
  <c r="AL11" i="105"/>
  <c r="AI11" i="105"/>
  <c r="AE11" i="105" s="1"/>
  <c r="X11" i="105" s="1"/>
  <c r="AK11" i="105"/>
  <c r="AH11" i="105" s="1"/>
  <c r="AD11" i="105" s="1"/>
  <c r="V11" i="105" s="1"/>
  <c r="AO10" i="105"/>
  <c r="AN10" i="105" s="1"/>
  <c r="Z10" i="105" s="1"/>
  <c r="AL10" i="105"/>
  <c r="AI10" i="105"/>
  <c r="AE10" i="105" s="1"/>
  <c r="X10" i="105" s="1"/>
  <c r="AK10" i="105"/>
  <c r="AH10" i="105"/>
  <c r="AO9" i="105"/>
  <c r="AN9" i="105"/>
  <c r="Z9" i="105"/>
  <c r="AL9" i="105"/>
  <c r="AK9" i="105"/>
  <c r="AH9" i="105"/>
  <c r="AD9" i="105" s="1"/>
  <c r="V9" i="105" s="1"/>
  <c r="AI9" i="105"/>
  <c r="AO8" i="105"/>
  <c r="AN8" i="105"/>
  <c r="Z8" i="105" s="1"/>
  <c r="AK8" i="105"/>
  <c r="AH8" i="105" s="1"/>
  <c r="AD8" i="105" s="1"/>
  <c r="V8" i="105" s="1"/>
  <c r="P33" i="104"/>
  <c r="AF37" i="104"/>
  <c r="AE37" i="104"/>
  <c r="P37" i="104"/>
  <c r="Z37" i="104" s="1"/>
  <c r="AF36" i="104"/>
  <c r="AE36" i="104"/>
  <c r="P36" i="104"/>
  <c r="Z36" i="104" s="1"/>
  <c r="AF33" i="104"/>
  <c r="AE33" i="104"/>
  <c r="V4" i="104"/>
  <c r="AD12" i="104" s="1"/>
  <c r="AO27" i="104"/>
  <c r="AN27" i="104"/>
  <c r="Z27" i="104"/>
  <c r="AO25" i="104"/>
  <c r="AN25" i="104"/>
  <c r="Z25" i="104"/>
  <c r="AO19" i="104"/>
  <c r="AN19" i="104"/>
  <c r="Z19" i="104"/>
  <c r="AL19" i="104"/>
  <c r="AK19" i="104"/>
  <c r="AH19" i="104"/>
  <c r="AI19" i="104"/>
  <c r="AO18" i="104"/>
  <c r="AN18" i="104"/>
  <c r="Z18" i="104"/>
  <c r="AL18" i="104"/>
  <c r="AI18" i="104"/>
  <c r="AK18" i="104"/>
  <c r="AH18" i="104"/>
  <c r="AO17" i="104"/>
  <c r="AN17" i="104"/>
  <c r="Z17" i="104"/>
  <c r="AL17" i="104"/>
  <c r="AI17" i="104"/>
  <c r="AK17" i="104"/>
  <c r="AH17" i="104" s="1"/>
  <c r="AD17" i="104" s="1"/>
  <c r="AO16" i="104"/>
  <c r="AN16" i="104"/>
  <c r="Z16" i="104"/>
  <c r="AL16" i="104"/>
  <c r="AI16" i="104"/>
  <c r="AE16" i="104"/>
  <c r="AK16" i="104"/>
  <c r="AH16" i="104" s="1"/>
  <c r="AD16" i="104" s="1"/>
  <c r="AO15" i="104"/>
  <c r="AN15" i="104"/>
  <c r="Z15" i="104"/>
  <c r="AL15" i="104"/>
  <c r="AK15" i="104"/>
  <c r="AH15" i="104" s="1"/>
  <c r="AD15" i="104" s="1"/>
  <c r="AI15" i="104"/>
  <c r="AO14" i="104"/>
  <c r="AN14" i="104"/>
  <c r="Z14" i="104"/>
  <c r="AL14" i="104"/>
  <c r="AI14" i="104"/>
  <c r="AE14" i="104"/>
  <c r="AK14" i="104"/>
  <c r="AH14" i="104" s="1"/>
  <c r="AD14" i="104" s="1"/>
  <c r="AO11" i="104"/>
  <c r="AN11" i="104"/>
  <c r="Z11" i="104"/>
  <c r="AL11" i="104"/>
  <c r="AI11" i="104"/>
  <c r="AK11" i="104"/>
  <c r="AH11" i="104"/>
  <c r="AD11" i="104" s="1"/>
  <c r="AO10" i="104"/>
  <c r="AN10" i="104"/>
  <c r="Z10" i="104"/>
  <c r="AL10" i="104"/>
  <c r="AI10" i="104"/>
  <c r="AK10" i="104"/>
  <c r="AH10" i="104"/>
  <c r="AD10" i="104" s="1"/>
  <c r="AO9" i="104"/>
  <c r="AN9" i="104"/>
  <c r="Z9" i="104"/>
  <c r="AL9" i="104"/>
  <c r="AI9" i="104"/>
  <c r="AE9" i="104"/>
  <c r="AK9" i="104"/>
  <c r="AH9" i="104" s="1"/>
  <c r="AD9" i="104" s="1"/>
  <c r="AO8" i="104"/>
  <c r="AN8" i="104"/>
  <c r="Z8" i="104"/>
  <c r="AK8" i="104"/>
  <c r="AH8" i="104"/>
  <c r="P33" i="103"/>
  <c r="AF37" i="103"/>
  <c r="AE37" i="103"/>
  <c r="P37" i="103"/>
  <c r="Z37" i="103" s="1"/>
  <c r="AF36" i="103"/>
  <c r="AE36" i="103"/>
  <c r="P36" i="103"/>
  <c r="V36" i="103" s="1"/>
  <c r="AF33" i="103"/>
  <c r="AE33" i="103"/>
  <c r="V4" i="103"/>
  <c r="AD13" i="103" s="1"/>
  <c r="V27" i="103"/>
  <c r="AO27" i="103"/>
  <c r="AN27" i="103"/>
  <c r="Z27" i="103"/>
  <c r="AO25" i="103"/>
  <c r="AN25" i="103"/>
  <c r="Z25" i="103"/>
  <c r="AO19" i="103"/>
  <c r="AN19" i="103"/>
  <c r="Z19" i="103"/>
  <c r="AL19" i="103"/>
  <c r="AI19" i="103"/>
  <c r="AK19" i="103"/>
  <c r="AH19" i="103"/>
  <c r="AO18" i="103"/>
  <c r="AN18" i="103"/>
  <c r="Z18" i="103"/>
  <c r="AL18" i="103"/>
  <c r="AI18" i="103"/>
  <c r="AE18" i="103"/>
  <c r="AK18" i="103"/>
  <c r="AH18" i="103"/>
  <c r="AO17" i="103"/>
  <c r="AN17" i="103"/>
  <c r="Z17" i="103"/>
  <c r="AL17" i="103"/>
  <c r="AI17" i="103"/>
  <c r="AE17" i="103"/>
  <c r="AK17" i="103"/>
  <c r="AH17" i="103"/>
  <c r="AD17" i="103"/>
  <c r="AO16" i="103"/>
  <c r="AN16" i="103"/>
  <c r="Z16" i="103"/>
  <c r="AL16" i="103"/>
  <c r="AI16" i="103"/>
  <c r="AE16" i="103"/>
  <c r="AK16" i="103"/>
  <c r="AH16" i="103"/>
  <c r="AO15" i="103"/>
  <c r="AN15" i="103"/>
  <c r="Z15" i="103"/>
  <c r="AL15" i="103"/>
  <c r="AI15" i="103"/>
  <c r="AK15" i="103"/>
  <c r="AH15" i="103"/>
  <c r="AO14" i="103"/>
  <c r="AN14" i="103"/>
  <c r="Z14" i="103"/>
  <c r="AL14" i="103"/>
  <c r="AI14" i="103"/>
  <c r="AE14" i="103"/>
  <c r="AK14" i="103"/>
  <c r="AH14" i="103"/>
  <c r="AO11" i="103"/>
  <c r="AN11" i="103"/>
  <c r="Z11" i="103"/>
  <c r="AK11" i="103"/>
  <c r="AH11" i="103"/>
  <c r="AO10" i="103"/>
  <c r="AN10" i="103"/>
  <c r="Z10" i="103" s="1"/>
  <c r="AL10" i="103"/>
  <c r="AK10" i="103"/>
  <c r="AH10" i="103"/>
  <c r="AI10" i="103"/>
  <c r="AE10" i="103" s="1"/>
  <c r="X10" i="103" s="1"/>
  <c r="AO9" i="103"/>
  <c r="AN9" i="103"/>
  <c r="Z9" i="103" s="1"/>
  <c r="AL9" i="103"/>
  <c r="AI9" i="103"/>
  <c r="AE9" i="103" s="1"/>
  <c r="X9" i="103" s="1"/>
  <c r="AK9" i="103"/>
  <c r="AH9" i="103"/>
  <c r="AO8" i="103"/>
  <c r="AN8" i="103"/>
  <c r="Z8" i="103"/>
  <c r="AL8" i="103"/>
  <c r="AI8" i="103"/>
  <c r="AE8" i="103" s="1"/>
  <c r="X8" i="103" s="1"/>
  <c r="AK8" i="103"/>
  <c r="AH8" i="103"/>
  <c r="P33" i="102"/>
  <c r="P36" i="102"/>
  <c r="Z36" i="102" s="1"/>
  <c r="P37" i="102"/>
  <c r="X37" i="102" s="1"/>
  <c r="AF37" i="102"/>
  <c r="AE37" i="102"/>
  <c r="AF36" i="102"/>
  <c r="AE36" i="102"/>
  <c r="AF33" i="102"/>
  <c r="AE33" i="102"/>
  <c r="V4" i="102"/>
  <c r="AD13" i="102" s="1"/>
  <c r="AO27" i="102"/>
  <c r="AN27" i="102"/>
  <c r="Z27" i="102"/>
  <c r="AO25" i="102"/>
  <c r="AN25" i="102"/>
  <c r="Z25" i="102"/>
  <c r="AO19" i="102"/>
  <c r="AN19" i="102"/>
  <c r="Z19" i="102"/>
  <c r="AK19" i="102"/>
  <c r="AH19" i="102"/>
  <c r="AO18" i="102"/>
  <c r="AN18" i="102"/>
  <c r="Z18" i="102"/>
  <c r="AL18" i="102"/>
  <c r="AK18" i="102"/>
  <c r="AH18" i="102"/>
  <c r="AI18" i="102"/>
  <c r="AE18" i="102"/>
  <c r="AO17" i="102"/>
  <c r="AN17" i="102"/>
  <c r="Z17" i="102"/>
  <c r="AL17" i="102"/>
  <c r="AI17" i="102"/>
  <c r="AK17" i="102"/>
  <c r="AH17" i="102"/>
  <c r="AD17" i="102"/>
  <c r="AO16" i="102"/>
  <c r="AN16" i="102"/>
  <c r="Z16" i="102"/>
  <c r="AL16" i="102"/>
  <c r="AI16" i="102"/>
  <c r="AE16" i="102"/>
  <c r="AK16" i="102"/>
  <c r="AH16" i="102"/>
  <c r="AO15" i="102"/>
  <c r="AN15" i="102"/>
  <c r="Z15" i="102"/>
  <c r="AL15" i="102"/>
  <c r="AI15" i="102"/>
  <c r="AE15" i="102"/>
  <c r="AK15" i="102"/>
  <c r="AH15" i="102"/>
  <c r="AO14" i="102"/>
  <c r="AN14" i="102"/>
  <c r="Z14" i="102"/>
  <c r="AL14" i="102"/>
  <c r="AI14" i="102"/>
  <c r="AK14" i="102"/>
  <c r="AH14" i="102"/>
  <c r="AO11" i="102"/>
  <c r="AN11" i="102"/>
  <c r="Z11" i="102"/>
  <c r="AL11" i="102"/>
  <c r="AI11" i="102"/>
  <c r="AK11" i="102"/>
  <c r="AH11" i="102"/>
  <c r="AO10" i="102"/>
  <c r="AN10" i="102"/>
  <c r="Z10" i="102"/>
  <c r="AL10" i="102"/>
  <c r="AI10" i="102"/>
  <c r="AE10" i="102"/>
  <c r="AK10" i="102"/>
  <c r="AH10" i="102"/>
  <c r="AO9" i="102"/>
  <c r="AN9" i="102"/>
  <c r="Z9" i="102"/>
  <c r="AK9" i="102"/>
  <c r="AH9" i="102"/>
  <c r="AD9" i="102" s="1"/>
  <c r="AO8" i="102"/>
  <c r="AN8" i="102"/>
  <c r="Z8" i="102"/>
  <c r="AK8" i="102"/>
  <c r="AH8" i="102"/>
  <c r="AF37" i="92"/>
  <c r="AE37" i="92"/>
  <c r="P37" i="92"/>
  <c r="X37" i="92" s="1"/>
  <c r="AF36" i="92"/>
  <c r="AE36" i="92"/>
  <c r="P36" i="92"/>
  <c r="X36" i="92" s="1"/>
  <c r="AF33" i="92"/>
  <c r="AE33" i="92"/>
  <c r="Z27" i="92"/>
  <c r="AO25" i="92"/>
  <c r="AN25" i="92"/>
  <c r="Z25" i="92" s="1"/>
  <c r="Z28" i="92" s="1"/>
  <c r="V4" i="92"/>
  <c r="AD13" i="92" s="1"/>
  <c r="V27" i="92"/>
  <c r="AO19" i="92"/>
  <c r="AN19" i="92"/>
  <c r="Z19" i="92"/>
  <c r="AL19" i="92"/>
  <c r="AI19" i="92"/>
  <c r="AE19" i="92"/>
  <c r="AK19" i="92"/>
  <c r="AH19" i="92"/>
  <c r="AO18" i="92"/>
  <c r="AN18" i="92"/>
  <c r="Z18" i="92"/>
  <c r="AL18" i="92"/>
  <c r="AI18" i="92"/>
  <c r="AE18" i="92"/>
  <c r="AK18" i="92"/>
  <c r="AH18" i="92"/>
  <c r="AO17" i="92"/>
  <c r="AN17" i="92"/>
  <c r="Z17" i="92"/>
  <c r="AL17" i="92"/>
  <c r="AI17" i="92"/>
  <c r="AK17" i="92"/>
  <c r="AH17" i="92"/>
  <c r="AO16" i="92"/>
  <c r="AN16" i="92"/>
  <c r="Z16" i="92"/>
  <c r="AL16" i="92"/>
  <c r="AI16" i="92"/>
  <c r="AE16" i="92"/>
  <c r="AK16" i="92"/>
  <c r="AH16" i="92"/>
  <c r="AO15" i="92"/>
  <c r="AN15" i="92"/>
  <c r="Z15" i="92"/>
  <c r="AL15" i="92"/>
  <c r="AI15" i="92"/>
  <c r="AK15" i="92"/>
  <c r="AH15" i="92"/>
  <c r="AO14" i="92"/>
  <c r="AN14" i="92"/>
  <c r="Z14" i="92"/>
  <c r="AL14" i="92"/>
  <c r="AI14" i="92"/>
  <c r="AK14" i="92"/>
  <c r="AH14" i="92"/>
  <c r="AD14" i="92"/>
  <c r="AO11" i="92"/>
  <c r="AN11" i="92"/>
  <c r="Z11" i="92"/>
  <c r="AL11" i="92"/>
  <c r="AI11" i="92"/>
  <c r="AE11" i="92" s="1"/>
  <c r="X11" i="92" s="1"/>
  <c r="AK11" i="92"/>
  <c r="AH11" i="92"/>
  <c r="AO10" i="92"/>
  <c r="AN10" i="92"/>
  <c r="Z10" i="92" s="1"/>
  <c r="AL10" i="92"/>
  <c r="AI10" i="92"/>
  <c r="AE10" i="92" s="1"/>
  <c r="X10" i="92" s="1"/>
  <c r="AK10" i="92"/>
  <c r="AH10" i="92"/>
  <c r="AD10" i="92" s="1"/>
  <c r="V10" i="92" s="1"/>
  <c r="AO9" i="92"/>
  <c r="AN9" i="92"/>
  <c r="Z9" i="92"/>
  <c r="AK9" i="92"/>
  <c r="AH9" i="92"/>
  <c r="AO8" i="92"/>
  <c r="AN8" i="92"/>
  <c r="Z8" i="92" s="1"/>
  <c r="AL8" i="92"/>
  <c r="AI8" i="92"/>
  <c r="AE8" i="92" s="1"/>
  <c r="X8" i="92" s="1"/>
  <c r="AK8" i="92"/>
  <c r="AH8" i="92"/>
  <c r="AD8" i="92" s="1"/>
  <c r="V8" i="92" s="1"/>
  <c r="AL17" i="97"/>
  <c r="AK17" i="97"/>
  <c r="AJ17" i="97"/>
  <c r="AI17" i="97"/>
  <c r="AH17" i="97"/>
  <c r="O18" i="97" s="1"/>
  <c r="AG17" i="97"/>
  <c r="O17" i="97" s="1"/>
  <c r="X11" i="107"/>
  <c r="AI22" i="109"/>
  <c r="L33" i="109"/>
  <c r="AI20" i="109"/>
  <c r="AI23" i="109"/>
  <c r="L32" i="109"/>
  <c r="X11" i="108"/>
  <c r="X15" i="108"/>
  <c r="X15" i="102"/>
  <c r="X14" i="103"/>
  <c r="X18" i="103"/>
  <c r="X27" i="103"/>
  <c r="X33" i="103"/>
  <c r="X27" i="105"/>
  <c r="X14" i="108"/>
  <c r="X16" i="108"/>
  <c r="AE17" i="108"/>
  <c r="X17" i="108"/>
  <c r="X19" i="105"/>
  <c r="X17" i="103"/>
  <c r="X25" i="103"/>
  <c r="X19" i="108"/>
  <c r="X17" i="107"/>
  <c r="X14" i="107"/>
  <c r="V25" i="103"/>
  <c r="V28" i="103" s="1"/>
  <c r="AD14" i="108"/>
  <c r="V14" i="108"/>
  <c r="AD19" i="108"/>
  <c r="V19" i="108"/>
  <c r="V10" i="104"/>
  <c r="V27" i="108"/>
  <c r="X10" i="102"/>
  <c r="X16" i="103"/>
  <c r="AE10" i="108"/>
  <c r="X10" i="108"/>
  <c r="AE18" i="108"/>
  <c r="X18" i="108"/>
  <c r="X25" i="108"/>
  <c r="X27" i="108"/>
  <c r="X37" i="108"/>
  <c r="AE15" i="103"/>
  <c r="X15" i="103"/>
  <c r="AE19" i="103"/>
  <c r="X19" i="103"/>
  <c r="V16" i="104"/>
  <c r="X16" i="92"/>
  <c r="X36" i="102"/>
  <c r="V8" i="108"/>
  <c r="AE14" i="102"/>
  <c r="X14" i="102"/>
  <c r="V27" i="102"/>
  <c r="AD16" i="103"/>
  <c r="V16" i="103"/>
  <c r="AD10" i="103"/>
  <c r="V10" i="103" s="1"/>
  <c r="AE10" i="107"/>
  <c r="X10" i="107" s="1"/>
  <c r="X19" i="107"/>
  <c r="V18" i="105"/>
  <c r="V14" i="105"/>
  <c r="V16" i="105"/>
  <c r="X18" i="102"/>
  <c r="AD11" i="102"/>
  <c r="V11" i="102"/>
  <c r="X16" i="102"/>
  <c r="X25" i="102"/>
  <c r="X27" i="102"/>
  <c r="AD10" i="105"/>
  <c r="V10" i="105" s="1"/>
  <c r="V27" i="107"/>
  <c r="AE11" i="102"/>
  <c r="X11" i="102"/>
  <c r="AE17" i="102"/>
  <c r="X17" i="102"/>
  <c r="V19" i="103"/>
  <c r="AE15" i="92"/>
  <c r="X15" i="92"/>
  <c r="X19" i="92"/>
  <c r="AD15" i="103"/>
  <c r="V15" i="103"/>
  <c r="V17" i="105"/>
  <c r="V19" i="105"/>
  <c r="V18" i="106"/>
  <c r="X16" i="107"/>
  <c r="X25" i="107"/>
  <c r="X28" i="107" s="1"/>
  <c r="X27" i="107"/>
  <c r="AD11" i="108"/>
  <c r="V11" i="108"/>
  <c r="V16" i="108"/>
  <c r="V17" i="108"/>
  <c r="AD18" i="108"/>
  <c r="V18" i="108"/>
  <c r="X34" i="102"/>
  <c r="X26" i="102"/>
  <c r="X13" i="102"/>
  <c r="AE12" i="102"/>
  <c r="X12" i="102"/>
  <c r="X35" i="102"/>
  <c r="V26" i="106"/>
  <c r="V34" i="106"/>
  <c r="V12" i="106"/>
  <c r="V13" i="106"/>
  <c r="V36" i="106"/>
  <c r="V37" i="106"/>
  <c r="X35" i="92"/>
  <c r="X26" i="92"/>
  <c r="X26" i="104"/>
  <c r="X35" i="104"/>
  <c r="X13" i="104"/>
  <c r="AE12" i="104"/>
  <c r="X12" i="104"/>
  <c r="X34" i="104"/>
  <c r="X26" i="106"/>
  <c r="AE13" i="106"/>
  <c r="X13" i="106"/>
  <c r="X34" i="106"/>
  <c r="AE12" i="106"/>
  <c r="X12" i="106"/>
  <c r="AE17" i="92"/>
  <c r="X17" i="92"/>
  <c r="V26" i="103"/>
  <c r="V12" i="103"/>
  <c r="V13" i="103"/>
  <c r="V34" i="105"/>
  <c r="V26" i="105"/>
  <c r="V35" i="105"/>
  <c r="V36" i="105"/>
  <c r="V14" i="106"/>
  <c r="V25" i="106"/>
  <c r="X27" i="106"/>
  <c r="X37" i="106"/>
  <c r="V26" i="108"/>
  <c r="V34" i="108"/>
  <c r="V35" i="108"/>
  <c r="AD12" i="108"/>
  <c r="V12" i="108"/>
  <c r="V13" i="108"/>
  <c r="X26" i="107"/>
  <c r="X34" i="107"/>
  <c r="AE12" i="107"/>
  <c r="X12" i="107"/>
  <c r="X13" i="107"/>
  <c r="AE14" i="92"/>
  <c r="X14" i="92"/>
  <c r="X18" i="92"/>
  <c r="V26" i="92"/>
  <c r="V35" i="92"/>
  <c r="V26" i="102"/>
  <c r="AD12" i="102"/>
  <c r="V12" i="102"/>
  <c r="V13" i="102"/>
  <c r="AD11" i="103"/>
  <c r="V11" i="103"/>
  <c r="AD14" i="103"/>
  <c r="V14" i="103"/>
  <c r="V17" i="103"/>
  <c r="V18" i="103"/>
  <c r="V34" i="104"/>
  <c r="V26" i="104"/>
  <c r="V27" i="104"/>
  <c r="V13" i="104"/>
  <c r="V35" i="104"/>
  <c r="V12" i="104"/>
  <c r="V36" i="104"/>
  <c r="V15" i="105"/>
  <c r="AE15" i="107"/>
  <c r="X15" i="107"/>
  <c r="AE18" i="107"/>
  <c r="X18" i="107"/>
  <c r="V26" i="107"/>
  <c r="V12" i="107"/>
  <c r="AD13" i="107"/>
  <c r="V13" i="107"/>
  <c r="V10" i="108"/>
  <c r="V15" i="108"/>
  <c r="Z28" i="108"/>
  <c r="X26" i="103"/>
  <c r="AE13" i="103"/>
  <c r="X13" i="103"/>
  <c r="AE12" i="103"/>
  <c r="X12" i="103"/>
  <c r="X34" i="103"/>
  <c r="X25" i="105"/>
  <c r="X34" i="105"/>
  <c r="X35" i="105"/>
  <c r="X26" i="105"/>
  <c r="AE12" i="105"/>
  <c r="X12" i="105" s="1"/>
  <c r="X9" i="108"/>
  <c r="X26" i="108"/>
  <c r="X34" i="108"/>
  <c r="AE12" i="108"/>
  <c r="X12" i="108"/>
  <c r="X35" i="108"/>
  <c r="AE13" i="108"/>
  <c r="X13" i="108"/>
  <c r="AG20" i="109"/>
  <c r="AB20" i="109" s="1"/>
  <c r="AG23" i="109"/>
  <c r="AB23" i="109"/>
  <c r="L34" i="109"/>
  <c r="AG19" i="109"/>
  <c r="AB19" i="109" s="1"/>
  <c r="L30" i="109"/>
  <c r="L31" i="109"/>
  <c r="X37" i="105"/>
  <c r="X36" i="106"/>
  <c r="V37" i="108"/>
  <c r="Y41" i="108"/>
  <c r="L41" i="108" s="1"/>
  <c r="V36" i="108"/>
  <c r="X36" i="108"/>
  <c r="Z28" i="106"/>
  <c r="Z28" i="105"/>
  <c r="Z28" i="104"/>
  <c r="Z28" i="103"/>
  <c r="Z28" i="102"/>
  <c r="X9" i="102"/>
  <c r="X16" i="104"/>
  <c r="V11" i="107"/>
  <c r="V25" i="108"/>
  <c r="AD19" i="107"/>
  <c r="V19" i="107"/>
  <c r="X19" i="106"/>
  <c r="AE17" i="106"/>
  <c r="X17" i="106"/>
  <c r="V9" i="106"/>
  <c r="V15" i="106"/>
  <c r="V19" i="106"/>
  <c r="V11" i="106"/>
  <c r="AD17" i="106"/>
  <c r="V17" i="106"/>
  <c r="V8" i="106"/>
  <c r="Z20" i="106"/>
  <c r="V10" i="106"/>
  <c r="V16" i="106"/>
  <c r="AE16" i="105"/>
  <c r="X16" i="105"/>
  <c r="AE14" i="105"/>
  <c r="X14" i="105"/>
  <c r="AE9" i="105"/>
  <c r="X9" i="105" s="1"/>
  <c r="AE15" i="105"/>
  <c r="X15" i="105"/>
  <c r="AE17" i="105"/>
  <c r="X17" i="105"/>
  <c r="AE18" i="105"/>
  <c r="X18" i="105"/>
  <c r="V11" i="104"/>
  <c r="V17" i="104"/>
  <c r="V9" i="104"/>
  <c r="V15" i="104"/>
  <c r="AD19" i="104"/>
  <c r="V19" i="104"/>
  <c r="AD8" i="104"/>
  <c r="V8" i="104"/>
  <c r="V14" i="104"/>
  <c r="V20" i="104" s="1"/>
  <c r="AD18" i="104"/>
  <c r="V18" i="104"/>
  <c r="AD8" i="102"/>
  <c r="V8" i="102"/>
  <c r="AD14" i="102"/>
  <c r="V14" i="102"/>
  <c r="AD19" i="102"/>
  <c r="V19" i="102"/>
  <c r="AD18" i="102"/>
  <c r="V18" i="102"/>
  <c r="V16" i="102"/>
  <c r="AD15" i="102"/>
  <c r="V15" i="102"/>
  <c r="AD10" i="102"/>
  <c r="V10" i="102"/>
  <c r="V17" i="102"/>
  <c r="V9" i="102"/>
  <c r="AE13" i="92"/>
  <c r="X13" i="92"/>
  <c r="Z20" i="108"/>
  <c r="AE8" i="108"/>
  <c r="X8" i="108"/>
  <c r="AD14" i="107"/>
  <c r="V14" i="107"/>
  <c r="AD16" i="107"/>
  <c r="V16" i="107"/>
  <c r="AD17" i="107"/>
  <c r="V17" i="107"/>
  <c r="AD15" i="107"/>
  <c r="V15" i="107"/>
  <c r="V18" i="107"/>
  <c r="AD9" i="107"/>
  <c r="V9" i="107" s="1"/>
  <c r="V25" i="107"/>
  <c r="V28" i="107" s="1"/>
  <c r="AD10" i="107"/>
  <c r="V10" i="107" s="1"/>
  <c r="AE9" i="106"/>
  <c r="X9" i="106"/>
  <c r="X20" i="106"/>
  <c r="X11" i="106"/>
  <c r="X25" i="106"/>
  <c r="X8" i="106"/>
  <c r="AE15" i="106"/>
  <c r="X15" i="106"/>
  <c r="AE16" i="106"/>
  <c r="X16" i="106"/>
  <c r="AE18" i="106"/>
  <c r="X18" i="106"/>
  <c r="AE14" i="106"/>
  <c r="X14" i="106"/>
  <c r="AE10" i="106"/>
  <c r="X10" i="106"/>
  <c r="V25" i="105"/>
  <c r="AE10" i="104"/>
  <c r="X10" i="104"/>
  <c r="AE17" i="104"/>
  <c r="X17" i="104"/>
  <c r="Z20" i="104"/>
  <c r="X25" i="104"/>
  <c r="X28" i="104"/>
  <c r="AE8" i="104"/>
  <c r="X8" i="104"/>
  <c r="AE15" i="104"/>
  <c r="X15" i="104"/>
  <c r="X14" i="104"/>
  <c r="AE11" i="104"/>
  <c r="X11" i="104"/>
  <c r="V25" i="104"/>
  <c r="V28" i="104" s="1"/>
  <c r="X9" i="104"/>
  <c r="AE18" i="104"/>
  <c r="X18" i="104"/>
  <c r="AE19" i="104"/>
  <c r="X19" i="104"/>
  <c r="Z20" i="102"/>
  <c r="V25" i="102"/>
  <c r="AE8" i="102"/>
  <c r="X8" i="102"/>
  <c r="AD12" i="92"/>
  <c r="V12" i="92" s="1"/>
  <c r="V13" i="92"/>
  <c r="AD19" i="92"/>
  <c r="V19" i="92"/>
  <c r="AD11" i="92"/>
  <c r="V11" i="92" s="1"/>
  <c r="V14" i="92"/>
  <c r="AD17" i="92"/>
  <c r="V17" i="92"/>
  <c r="AD16" i="92"/>
  <c r="V16" i="92"/>
  <c r="V25" i="92"/>
  <c r="V28" i="92" s="1"/>
  <c r="AE9" i="92"/>
  <c r="X9" i="92" s="1"/>
  <c r="V18" i="92"/>
  <c r="AD15" i="92"/>
  <c r="V15" i="92"/>
  <c r="AD9" i="92"/>
  <c r="V9" i="92" s="1"/>
  <c r="X25" i="92"/>
  <c r="X28" i="92" s="1"/>
  <c r="N22" i="110"/>
  <c r="N19" i="110"/>
  <c r="N12" i="110"/>
  <c r="P12" i="110"/>
  <c r="R12" i="110"/>
  <c r="X28" i="103"/>
  <c r="X28" i="108"/>
  <c r="X28" i="105"/>
  <c r="V20" i="108"/>
  <c r="V28" i="106"/>
  <c r="V28" i="108"/>
  <c r="V20" i="106"/>
  <c r="V28" i="102"/>
  <c r="V28" i="105"/>
  <c r="X20" i="108"/>
  <c r="X20" i="104"/>
  <c r="X28" i="106"/>
  <c r="AD19" i="103"/>
  <c r="AD9" i="103"/>
  <c r="V9" i="103" s="1"/>
  <c r="V37" i="103" l="1"/>
  <c r="X35" i="103"/>
  <c r="N17" i="110"/>
  <c r="V33" i="102"/>
  <c r="X33" i="106"/>
  <c r="R18" i="110"/>
  <c r="Z33" i="106"/>
  <c r="Z38" i="106" s="1"/>
  <c r="W44" i="106" s="1"/>
  <c r="R17" i="110"/>
  <c r="X33" i="108"/>
  <c r="X38" i="108" s="1"/>
  <c r="W43" i="108" s="1"/>
  <c r="X33" i="104"/>
  <c r="Z33" i="103"/>
  <c r="Z33" i="104"/>
  <c r="Z38" i="104" s="1"/>
  <c r="W44" i="104" s="1"/>
  <c r="Z33" i="105"/>
  <c r="Z38" i="105" s="1"/>
  <c r="N33" i="92"/>
  <c r="P33" i="92" s="1"/>
  <c r="Z33" i="92" s="1"/>
  <c r="Z20" i="92"/>
  <c r="X20" i="92"/>
  <c r="Z20" i="105"/>
  <c r="X20" i="105"/>
  <c r="N33" i="107"/>
  <c r="P33" i="107" s="1"/>
  <c r="X33" i="107" s="1"/>
  <c r="Z20" i="107"/>
  <c r="V33" i="107"/>
  <c r="X20" i="107"/>
  <c r="Z33" i="107"/>
  <c r="Z38" i="107" s="1"/>
  <c r="W44" i="107" s="1"/>
  <c r="N18" i="110"/>
  <c r="P18" i="110"/>
  <c r="P25" i="110" s="1"/>
  <c r="W32" i="110" s="1"/>
  <c r="Z33" i="108"/>
  <c r="Z38" i="108" s="1"/>
  <c r="W44" i="108" s="1"/>
  <c r="X33" i="105"/>
  <c r="X38" i="105" s="1"/>
  <c r="V33" i="105"/>
  <c r="V33" i="103"/>
  <c r="Z20" i="103"/>
  <c r="X20" i="103"/>
  <c r="L35" i="109"/>
  <c r="Y30" i="110"/>
  <c r="P30" i="110" s="1"/>
  <c r="V38" i="108"/>
  <c r="W42" i="108" s="1"/>
  <c r="Y41" i="106"/>
  <c r="L41" i="106" s="1"/>
  <c r="X35" i="106"/>
  <c r="V35" i="106"/>
  <c r="V38" i="106" s="1"/>
  <c r="W42" i="106" s="1"/>
  <c r="V37" i="104"/>
  <c r="V38" i="104" s="1"/>
  <c r="W42" i="104" s="1"/>
  <c r="Y41" i="104"/>
  <c r="L41" i="104" s="1"/>
  <c r="X37" i="104"/>
  <c r="X36" i="104"/>
  <c r="V37" i="102"/>
  <c r="Z37" i="102"/>
  <c r="V36" i="102"/>
  <c r="Y41" i="102"/>
  <c r="L41" i="102" s="1"/>
  <c r="Z33" i="102"/>
  <c r="X33" i="102"/>
  <c r="X38" i="102" s="1"/>
  <c r="V37" i="107"/>
  <c r="X37" i="107"/>
  <c r="X36" i="107"/>
  <c r="V36" i="107"/>
  <c r="Y41" i="107"/>
  <c r="L41" i="107" s="1"/>
  <c r="X35" i="107"/>
  <c r="V35" i="107"/>
  <c r="Y41" i="105"/>
  <c r="L41" i="105" s="1"/>
  <c r="V37" i="105"/>
  <c r="Z37" i="92"/>
  <c r="Z36" i="92"/>
  <c r="V33" i="92"/>
  <c r="X33" i="92"/>
  <c r="Z34" i="92"/>
  <c r="X36" i="103"/>
  <c r="Z34" i="103"/>
  <c r="Y41" i="103"/>
  <c r="L41" i="103" s="1"/>
  <c r="X37" i="103"/>
  <c r="V35" i="103"/>
  <c r="Z36" i="103"/>
  <c r="V37" i="92"/>
  <c r="V36" i="92"/>
  <c r="Y41" i="92"/>
  <c r="L41" i="92" s="1"/>
  <c r="X34" i="92"/>
  <c r="X28" i="102"/>
  <c r="AD16" i="102"/>
  <c r="AD8" i="103"/>
  <c r="V8" i="103" s="1"/>
  <c r="V20" i="103" s="1"/>
  <c r="AD18" i="103"/>
  <c r="AD9" i="106"/>
  <c r="AD15" i="106"/>
  <c r="AD8" i="107"/>
  <c r="V8" i="107" s="1"/>
  <c r="V20" i="107" s="1"/>
  <c r="AD11" i="107"/>
  <c r="AD18" i="107"/>
  <c r="AE19" i="102"/>
  <c r="V20" i="92"/>
  <c r="AD8" i="106"/>
  <c r="AD16" i="106"/>
  <c r="AD12" i="106"/>
  <c r="AD12" i="105"/>
  <c r="V12" i="105" s="1"/>
  <c r="V20" i="105" s="1"/>
  <c r="AD18" i="92"/>
  <c r="AD10" i="108"/>
  <c r="AD15" i="108"/>
  <c r="AD9" i="108"/>
  <c r="AD17" i="108"/>
  <c r="AD12" i="103"/>
  <c r="X20" i="102"/>
  <c r="V20" i="102"/>
  <c r="V38" i="102" l="1"/>
  <c r="W42" i="102" s="1"/>
  <c r="N25" i="110"/>
  <c r="W31" i="110" s="1"/>
  <c r="X38" i="106"/>
  <c r="W43" i="106" s="1"/>
  <c r="R25" i="110"/>
  <c r="W33" i="110" s="1"/>
  <c r="Z38" i="102"/>
  <c r="W44" i="102" s="1"/>
  <c r="X38" i="103"/>
  <c r="W43" i="103" s="1"/>
  <c r="V38" i="103"/>
  <c r="W42" i="103" s="1"/>
  <c r="Z38" i="92"/>
  <c r="W44" i="92" s="1"/>
  <c r="Z38" i="103"/>
  <c r="W44" i="103" s="1"/>
  <c r="V38" i="105"/>
  <c r="W42" i="105" s="1"/>
  <c r="X38" i="104"/>
  <c r="W43" i="104" s="1"/>
  <c r="W44" i="105"/>
  <c r="W43" i="105"/>
  <c r="V38" i="107"/>
  <c r="W42" i="107" s="1"/>
  <c r="X38" i="107"/>
  <c r="W43" i="107" s="1"/>
  <c r="W43" i="102"/>
  <c r="X38" i="92"/>
  <c r="W43" i="92" s="1"/>
  <c r="V38" i="92"/>
  <c r="W42" i="92" s="1"/>
  <c r="J11" i="97"/>
  <c r="AH19" i="97" l="1"/>
  <c r="J12" i="97" s="1"/>
  <c r="J17" i="97" s="1"/>
  <c r="T17" i="97" s="1"/>
  <c r="AH21" i="97"/>
  <c r="X12" i="97" s="1"/>
  <c r="AH20" i="97"/>
  <c r="X11" i="97" s="1"/>
  <c r="J18" i="97" s="1"/>
  <c r="T18" i="97" s="1"/>
</calcChain>
</file>

<file path=xl/comments1.xml><?xml version="1.0" encoding="utf-8"?>
<comments xmlns="http://schemas.openxmlformats.org/spreadsheetml/2006/main">
  <authors>
    <author>深川 里香</author>
  </authors>
  <commentList>
    <comment ref="B12" authorId="0">
      <text>
        <r>
          <rPr>
            <b/>
            <sz val="9"/>
            <color indexed="81"/>
            <rFont val="ＭＳ Ｐゴシック"/>
            <family val="3"/>
            <charset val="128"/>
          </rPr>
          <t>野縁上に敷き込む場合には入力しません。</t>
        </r>
      </text>
    </comment>
    <comment ref="B29" authorId="0">
      <text>
        <r>
          <rPr>
            <b/>
            <sz val="9"/>
            <color indexed="81"/>
            <rFont val="ＭＳ Ｐゴシック"/>
            <family val="3"/>
            <charset val="128"/>
          </rPr>
          <t>野縁上に敷き込む場合には入力しません。</t>
        </r>
        <r>
          <rPr>
            <sz val="9"/>
            <color indexed="81"/>
            <rFont val="ＭＳ Ｐゴシック"/>
            <family val="3"/>
            <charset val="128"/>
          </rPr>
          <t xml:space="preserve">
</t>
        </r>
      </text>
    </comment>
    <comment ref="E29" authorId="0">
      <text>
        <r>
          <rPr>
            <b/>
            <sz val="9"/>
            <color indexed="81"/>
            <rFont val="ＭＳ Ｐゴシック"/>
            <family val="3"/>
            <charset val="128"/>
          </rPr>
          <t>断熱材の厚さに合わせる</t>
        </r>
      </text>
    </comment>
    <comment ref="B43" authorId="0">
      <text>
        <r>
          <rPr>
            <b/>
            <sz val="9"/>
            <color indexed="81"/>
            <rFont val="ＭＳ Ｐゴシック"/>
            <family val="3"/>
            <charset val="128"/>
          </rPr>
          <t xml:space="preserve">壁の内装下地ボードを桁まで張り上げない場合は計算に加えない。
</t>
        </r>
      </text>
    </comment>
    <comment ref="E45" authorId="0">
      <text>
        <r>
          <rPr>
            <b/>
            <sz val="9"/>
            <color indexed="81"/>
            <rFont val="ＭＳ Ｐゴシック"/>
            <family val="3"/>
            <charset val="128"/>
          </rPr>
          <t>断熱材の厚さに
合わせる</t>
        </r>
      </text>
    </comment>
    <comment ref="B46" authorId="0">
      <text>
        <r>
          <rPr>
            <b/>
            <sz val="9"/>
            <color indexed="81"/>
            <rFont val="ＭＳ Ｐゴシック"/>
            <family val="3"/>
            <charset val="128"/>
          </rPr>
          <t>断熱材との外側面材の間に通気層がある場合は計算に加えない。</t>
        </r>
      </text>
    </comment>
    <comment ref="E62" authorId="0">
      <text>
        <r>
          <rPr>
            <b/>
            <sz val="9"/>
            <color indexed="81"/>
            <rFont val="ＭＳ Ｐゴシック"/>
            <family val="3"/>
            <charset val="128"/>
          </rPr>
          <t>安全側の計算として、
断熱材≦大引等 の時：断熱材の厚さを記入
断熱材≧大引等 の時：木材の厚さを記入</t>
        </r>
      </text>
    </comment>
    <comment ref="E63" authorId="0">
      <text>
        <r>
          <rPr>
            <b/>
            <sz val="9"/>
            <color indexed="81"/>
            <rFont val="ＭＳ Ｐゴシック"/>
            <family val="3"/>
            <charset val="128"/>
          </rPr>
          <t>断熱材≦大引等 の時：断熱材の厚さを記入
断熱材≧大引等 の時：木材の実寸法を記入</t>
        </r>
      </text>
    </comment>
    <comment ref="E79" authorId="0">
      <text>
        <r>
          <rPr>
            <b/>
            <sz val="9"/>
            <color indexed="81"/>
            <rFont val="ＭＳ Ｐゴシック"/>
            <family val="3"/>
            <charset val="128"/>
          </rPr>
          <t>安全側の計算として、
断熱材≦大引等 の時：断熱材の厚さを記入
断熱材≧大引等 の時：木材の厚さを記入</t>
        </r>
      </text>
    </comment>
    <comment ref="E80" authorId="0">
      <text>
        <r>
          <rPr>
            <b/>
            <sz val="9"/>
            <color indexed="81"/>
            <rFont val="ＭＳ Ｐゴシック"/>
            <family val="3"/>
            <charset val="128"/>
          </rPr>
          <t>断熱材≦大引等 の時：断熱材の厚さを記入
断熱材≧大引等 の時：木材の実寸法を記入</t>
        </r>
      </text>
    </comment>
  </commentList>
</comments>
</file>

<file path=xl/comments2.xml><?xml version="1.0" encoding="utf-8"?>
<comments xmlns="http://schemas.openxmlformats.org/spreadsheetml/2006/main">
  <authors>
    <author>012</author>
    <author>小室 達也</author>
  </authors>
  <commentList>
    <comment ref="N5" authorId="0">
      <text>
        <r>
          <rPr>
            <sz val="9"/>
            <color indexed="81"/>
            <rFont val="ＭＳ Ｐゴシック"/>
            <family val="3"/>
            <charset val="128"/>
          </rPr>
          <t>取得日射量補正係数は簡略計算法にて算出</t>
        </r>
      </text>
    </comment>
    <comment ref="T31" authorId="1">
      <text>
        <r>
          <rPr>
            <sz val="9"/>
            <color indexed="81"/>
            <rFont val="ＭＳ Ｐゴシック"/>
            <family val="3"/>
            <charset val="128"/>
          </rPr>
          <t>日射の当たらない基礎等の場合は、チェックを入れる</t>
        </r>
      </text>
    </comment>
  </commentList>
</comments>
</file>

<file path=xl/comments3.xml><?xml version="1.0" encoding="utf-8"?>
<comments xmlns="http://schemas.openxmlformats.org/spreadsheetml/2006/main">
  <authors>
    <author>012</author>
    <author>小室 達也</author>
  </authors>
  <commentList>
    <comment ref="N5" authorId="0">
      <text>
        <r>
          <rPr>
            <sz val="9"/>
            <color indexed="81"/>
            <rFont val="ＭＳ Ｐゴシック"/>
            <family val="3"/>
            <charset val="128"/>
          </rPr>
          <t>取得日射量補正係数は簡略計算法にて算出</t>
        </r>
      </text>
    </comment>
    <comment ref="T31" authorId="1">
      <text>
        <r>
          <rPr>
            <sz val="9"/>
            <color indexed="81"/>
            <rFont val="ＭＳ Ｐゴシック"/>
            <family val="3"/>
            <charset val="128"/>
          </rPr>
          <t>日射の当たらない基礎等の場合は、チェックを入れる</t>
        </r>
      </text>
    </comment>
  </commentList>
</comments>
</file>

<file path=xl/comments4.xml><?xml version="1.0" encoding="utf-8"?>
<comments xmlns="http://schemas.openxmlformats.org/spreadsheetml/2006/main">
  <authors>
    <author>012</author>
    <author>小室 達也</author>
  </authors>
  <commentList>
    <comment ref="N5" authorId="0">
      <text>
        <r>
          <rPr>
            <sz val="9"/>
            <color indexed="81"/>
            <rFont val="ＭＳ Ｐゴシック"/>
            <family val="3"/>
            <charset val="128"/>
          </rPr>
          <t>取得日射量補正係数は簡略計算法にて算出</t>
        </r>
      </text>
    </comment>
    <comment ref="T31" authorId="1">
      <text>
        <r>
          <rPr>
            <sz val="9"/>
            <color indexed="81"/>
            <rFont val="ＭＳ Ｐゴシック"/>
            <family val="3"/>
            <charset val="128"/>
          </rPr>
          <t>日射の当たらない基礎等の場合は、チェックを入れる</t>
        </r>
      </text>
    </comment>
  </commentList>
</comments>
</file>

<file path=xl/comments5.xml><?xml version="1.0" encoding="utf-8"?>
<comments xmlns="http://schemas.openxmlformats.org/spreadsheetml/2006/main">
  <authors>
    <author>012</author>
    <author>小室 達也</author>
  </authors>
  <commentList>
    <comment ref="N5" authorId="0">
      <text>
        <r>
          <rPr>
            <sz val="9"/>
            <color indexed="81"/>
            <rFont val="ＭＳ Ｐゴシック"/>
            <family val="3"/>
            <charset val="128"/>
          </rPr>
          <t>取得日射量補正係数は簡略計算法にて算出</t>
        </r>
      </text>
    </comment>
    <comment ref="T31" authorId="1">
      <text>
        <r>
          <rPr>
            <sz val="9"/>
            <color indexed="81"/>
            <rFont val="ＭＳ Ｐゴシック"/>
            <family val="3"/>
            <charset val="128"/>
          </rPr>
          <t>日射の当たらない基礎等の場合は、チェックを入れる</t>
        </r>
      </text>
    </comment>
  </commentList>
</comments>
</file>

<file path=xl/comments6.xml><?xml version="1.0" encoding="utf-8"?>
<comments xmlns="http://schemas.openxmlformats.org/spreadsheetml/2006/main">
  <authors>
    <author>012</author>
    <author>小室 達也</author>
  </authors>
  <commentList>
    <comment ref="N5" authorId="0">
      <text>
        <r>
          <rPr>
            <sz val="9"/>
            <color indexed="81"/>
            <rFont val="ＭＳ Ｐゴシック"/>
            <family val="3"/>
            <charset val="128"/>
          </rPr>
          <t>取得日射量補正係数は簡略計算法にて算出</t>
        </r>
      </text>
    </comment>
    <comment ref="T31" authorId="1">
      <text>
        <r>
          <rPr>
            <sz val="9"/>
            <color indexed="81"/>
            <rFont val="ＭＳ Ｐゴシック"/>
            <family val="3"/>
            <charset val="128"/>
          </rPr>
          <t>日射の当たらない基礎等の場合は、チェックを入れる</t>
        </r>
      </text>
    </comment>
  </commentList>
</comments>
</file>

<file path=xl/comments7.xml><?xml version="1.0" encoding="utf-8"?>
<comments xmlns="http://schemas.openxmlformats.org/spreadsheetml/2006/main">
  <authors>
    <author>012</author>
    <author>小室 達也</author>
  </authors>
  <commentList>
    <comment ref="N5" authorId="0">
      <text>
        <r>
          <rPr>
            <sz val="9"/>
            <color indexed="81"/>
            <rFont val="ＭＳ Ｐゴシック"/>
            <family val="3"/>
            <charset val="128"/>
          </rPr>
          <t>取得日射量補正係数は簡略計算法にて算出</t>
        </r>
      </text>
    </comment>
    <comment ref="T31" authorId="1">
      <text>
        <r>
          <rPr>
            <sz val="9"/>
            <color indexed="81"/>
            <rFont val="ＭＳ Ｐゴシック"/>
            <family val="3"/>
            <charset val="128"/>
          </rPr>
          <t>日射の当たらない基礎等の場合は、チェックを入れる</t>
        </r>
      </text>
    </comment>
  </commentList>
</comments>
</file>

<file path=xl/comments8.xml><?xml version="1.0" encoding="utf-8"?>
<comments xmlns="http://schemas.openxmlformats.org/spreadsheetml/2006/main">
  <authors>
    <author>012</author>
    <author>小室 達也</author>
  </authors>
  <commentList>
    <comment ref="N5" authorId="0">
      <text>
        <r>
          <rPr>
            <sz val="9"/>
            <color indexed="81"/>
            <rFont val="ＭＳ Ｐゴシック"/>
            <family val="3"/>
            <charset val="128"/>
          </rPr>
          <t>取得日射量補正係数は簡略計算法にて算出</t>
        </r>
      </text>
    </comment>
    <comment ref="T31" authorId="1">
      <text>
        <r>
          <rPr>
            <sz val="9"/>
            <color indexed="81"/>
            <rFont val="ＭＳ Ｐゴシック"/>
            <family val="3"/>
            <charset val="128"/>
          </rPr>
          <t>日射の当たらない基礎等の場合は、チェックを入れる</t>
        </r>
      </text>
    </comment>
  </commentList>
</comments>
</file>

<file path=xl/comments9.xml><?xml version="1.0" encoding="utf-8"?>
<comments xmlns="http://schemas.openxmlformats.org/spreadsheetml/2006/main">
  <authors>
    <author>012</author>
    <author>小室 達也</author>
  </authors>
  <commentList>
    <comment ref="N5" authorId="0">
      <text>
        <r>
          <rPr>
            <sz val="9"/>
            <color indexed="81"/>
            <rFont val="ＭＳ Ｐゴシック"/>
            <family val="3"/>
            <charset val="128"/>
          </rPr>
          <t>取得日射量補正係数は簡略計算法にて算出</t>
        </r>
      </text>
    </comment>
    <comment ref="T31" authorId="1">
      <text>
        <r>
          <rPr>
            <sz val="9"/>
            <color indexed="81"/>
            <rFont val="ＭＳ Ｐゴシック"/>
            <family val="3"/>
            <charset val="128"/>
          </rPr>
          <t>日射の当たらない基礎等の場合は、チェックを入れる</t>
        </r>
      </text>
    </comment>
  </commentList>
</comments>
</file>

<file path=xl/sharedStrings.xml><?xml version="1.0" encoding="utf-8"?>
<sst xmlns="http://schemas.openxmlformats.org/spreadsheetml/2006/main" count="1473" uniqueCount="481">
  <si>
    <t>仕様番号</t>
    <rPh sb="0" eb="2">
      <t>シヨウ</t>
    </rPh>
    <rPh sb="2" eb="4">
      <t>バンゴウ</t>
    </rPh>
    <phoneticPr fontId="2"/>
  </si>
  <si>
    <t>外壁</t>
    <rPh sb="0" eb="2">
      <t>ガイヘキ</t>
    </rPh>
    <phoneticPr fontId="2"/>
  </si>
  <si>
    <t>階</t>
    <rPh sb="0" eb="1">
      <t>カイ</t>
    </rPh>
    <phoneticPr fontId="2"/>
  </si>
  <si>
    <t>ｙ2</t>
    <phoneticPr fontId="2"/>
  </si>
  <si>
    <t>冷房期</t>
    <rPh sb="0" eb="2">
      <t>レイボウ</t>
    </rPh>
    <rPh sb="2" eb="3">
      <t>キ</t>
    </rPh>
    <phoneticPr fontId="2"/>
  </si>
  <si>
    <t>1）窓の入力</t>
    <rPh sb="2" eb="3">
      <t>マド</t>
    </rPh>
    <rPh sb="4" eb="6">
      <t>ニュウリョク</t>
    </rPh>
    <phoneticPr fontId="2"/>
  </si>
  <si>
    <t>窓番号</t>
    <rPh sb="0" eb="1">
      <t>マド</t>
    </rPh>
    <rPh sb="1" eb="3">
      <t>バンゴウ</t>
    </rPh>
    <phoneticPr fontId="2"/>
  </si>
  <si>
    <t>熱貫流率</t>
    <rPh sb="0" eb="1">
      <t>ネツ</t>
    </rPh>
    <rPh sb="1" eb="3">
      <t>カンリュウ</t>
    </rPh>
    <rPh sb="3" eb="4">
      <t>リツ</t>
    </rPh>
    <phoneticPr fontId="2"/>
  </si>
  <si>
    <t>高さ</t>
    <rPh sb="0" eb="1">
      <t>タカ</t>
    </rPh>
    <phoneticPr fontId="2"/>
  </si>
  <si>
    <t>幅</t>
    <rPh sb="0" eb="1">
      <t>ハバ</t>
    </rPh>
    <phoneticPr fontId="2"/>
  </si>
  <si>
    <t>付属部材
の有無</t>
    <rPh sb="0" eb="2">
      <t>フゾク</t>
    </rPh>
    <rPh sb="2" eb="4">
      <t>ブザイ</t>
    </rPh>
    <rPh sb="6" eb="8">
      <t>ウム</t>
    </rPh>
    <phoneticPr fontId="2"/>
  </si>
  <si>
    <t>Z</t>
    <phoneticPr fontId="2"/>
  </si>
  <si>
    <t>ｙ1</t>
    <phoneticPr fontId="2"/>
  </si>
  <si>
    <t>熱損失</t>
    <rPh sb="0" eb="1">
      <t>ネツ</t>
    </rPh>
    <rPh sb="1" eb="3">
      <t>ソンシツ</t>
    </rPh>
    <phoneticPr fontId="2"/>
  </si>
  <si>
    <t>取得日射量補正係数</t>
    <rPh sb="0" eb="2">
      <t>シュトク</t>
    </rPh>
    <rPh sb="2" eb="4">
      <t>ニッシャ</t>
    </rPh>
    <rPh sb="4" eb="5">
      <t>リョウ</t>
    </rPh>
    <rPh sb="5" eb="7">
      <t>ホセイ</t>
    </rPh>
    <rPh sb="7" eb="9">
      <t>ケイスウ</t>
    </rPh>
    <phoneticPr fontId="2"/>
  </si>
  <si>
    <t>2）ドアの入力</t>
    <rPh sb="5" eb="7">
      <t>ニュウリョク</t>
    </rPh>
    <phoneticPr fontId="2"/>
  </si>
  <si>
    <t>ドア番号</t>
    <rPh sb="2" eb="4">
      <t>バンゴウ</t>
    </rPh>
    <phoneticPr fontId="2"/>
  </si>
  <si>
    <t>3）外壁の入力</t>
    <rPh sb="2" eb="4">
      <t>ガイヘキ</t>
    </rPh>
    <rPh sb="5" eb="7">
      <t>ニュウリョク</t>
    </rPh>
    <phoneticPr fontId="2"/>
  </si>
  <si>
    <t>暖房期</t>
    <rPh sb="0" eb="2">
      <t>ダンボウ</t>
    </rPh>
    <rPh sb="2" eb="3">
      <t>キ</t>
    </rPh>
    <phoneticPr fontId="2"/>
  </si>
  <si>
    <t>㎡）</t>
    <phoneticPr fontId="2"/>
  </si>
  <si>
    <t>　総熱損失</t>
    <rPh sb="1" eb="2">
      <t>ソウ</t>
    </rPh>
    <rPh sb="2" eb="3">
      <t>ネツ</t>
    </rPh>
    <rPh sb="3" eb="5">
      <t>ソンシツ</t>
    </rPh>
    <phoneticPr fontId="2"/>
  </si>
  <si>
    <t>W/K</t>
    <phoneticPr fontId="2"/>
  </si>
  <si>
    <t>ドア</t>
    <phoneticPr fontId="2"/>
  </si>
  <si>
    <t>（窓</t>
    <rPh sb="1" eb="2">
      <t>マド</t>
    </rPh>
    <phoneticPr fontId="2"/>
  </si>
  <si>
    <t>㎡</t>
    <phoneticPr fontId="2"/>
  </si>
  <si>
    <t>㎡、</t>
    <phoneticPr fontId="2"/>
  </si>
  <si>
    <t>1）基本情報の入力</t>
    <rPh sb="2" eb="4">
      <t>キホン</t>
    </rPh>
    <rPh sb="4" eb="6">
      <t>ジョウホウ</t>
    </rPh>
    <rPh sb="7" eb="9">
      <t>ニュウリョク</t>
    </rPh>
    <phoneticPr fontId="2"/>
  </si>
  <si>
    <t>　住宅の名称</t>
    <rPh sb="1" eb="3">
      <t>ジュウタク</t>
    </rPh>
    <rPh sb="4" eb="6">
      <t>メイショウ</t>
    </rPh>
    <phoneticPr fontId="2"/>
  </si>
  <si>
    <t>　住宅の所在地</t>
    <rPh sb="1" eb="3">
      <t>ジュウタク</t>
    </rPh>
    <rPh sb="4" eb="7">
      <t>ショザイチ</t>
    </rPh>
    <phoneticPr fontId="2"/>
  </si>
  <si>
    <t>　住宅の規模</t>
    <rPh sb="1" eb="3">
      <t>ジュウタク</t>
    </rPh>
    <rPh sb="4" eb="6">
      <t>キボ</t>
    </rPh>
    <phoneticPr fontId="2"/>
  </si>
  <si>
    <t>（地域区分）</t>
    <rPh sb="1" eb="3">
      <t>チイキ</t>
    </rPh>
    <rPh sb="3" eb="5">
      <t>クブン</t>
    </rPh>
    <phoneticPr fontId="2"/>
  </si>
  <si>
    <t>地上</t>
    <rPh sb="0" eb="2">
      <t>チジョウ</t>
    </rPh>
    <phoneticPr fontId="2"/>
  </si>
  <si>
    <t>、地下</t>
    <rPh sb="1" eb="3">
      <t>チカ</t>
    </rPh>
    <phoneticPr fontId="2"/>
  </si>
  <si>
    <t>2）計算結果</t>
    <rPh sb="2" eb="4">
      <t>ケイサン</t>
    </rPh>
    <rPh sb="4" eb="6">
      <t>ケッカ</t>
    </rPh>
    <phoneticPr fontId="2"/>
  </si>
  <si>
    <t>W/（㎡K）</t>
    <phoneticPr fontId="2"/>
  </si>
  <si>
    <t>方位係数</t>
    <rPh sb="0" eb="2">
      <t>ホウイ</t>
    </rPh>
    <rPh sb="2" eb="4">
      <t>ケイスウ</t>
    </rPh>
    <phoneticPr fontId="2"/>
  </si>
  <si>
    <t>部位番号</t>
    <rPh sb="0" eb="2">
      <t>ブイ</t>
    </rPh>
    <rPh sb="2" eb="4">
      <t>バンゴウ</t>
    </rPh>
    <phoneticPr fontId="2"/>
  </si>
  <si>
    <t>部位名</t>
    <rPh sb="0" eb="2">
      <t>ブイ</t>
    </rPh>
    <rPh sb="2" eb="3">
      <t>メイ</t>
    </rPh>
    <phoneticPr fontId="2"/>
  </si>
  <si>
    <t>断熱材
熱抵抗
Ｒ１</t>
    <rPh sb="0" eb="3">
      <t>ダンネツザイ</t>
    </rPh>
    <rPh sb="4" eb="5">
      <t>ネツ</t>
    </rPh>
    <rPh sb="5" eb="7">
      <t>テイコウ</t>
    </rPh>
    <phoneticPr fontId="2"/>
  </si>
  <si>
    <t>断熱材
熱抵抗
Ｒ２</t>
    <rPh sb="0" eb="3">
      <t>ダンネツザイ</t>
    </rPh>
    <rPh sb="4" eb="5">
      <t>ネツ</t>
    </rPh>
    <rPh sb="5" eb="7">
      <t>テイコウ</t>
    </rPh>
    <phoneticPr fontId="2"/>
  </si>
  <si>
    <t>断熱材
熱抵抗
Ｒ３</t>
    <rPh sb="0" eb="3">
      <t>ダンネツザイ</t>
    </rPh>
    <rPh sb="4" eb="5">
      <t>ネツ</t>
    </rPh>
    <rPh sb="5" eb="7">
      <t>テイコウ</t>
    </rPh>
    <phoneticPr fontId="2"/>
  </si>
  <si>
    <t>断熱材
熱抵抗
Ｒ４</t>
    <rPh sb="0" eb="3">
      <t>ダンネツザイ</t>
    </rPh>
    <rPh sb="4" eb="5">
      <t>ネツ</t>
    </rPh>
    <rPh sb="5" eb="7">
      <t>テイコウ</t>
    </rPh>
    <phoneticPr fontId="2"/>
  </si>
  <si>
    <t>基礎高
Ｈ１</t>
    <rPh sb="0" eb="2">
      <t>キソ</t>
    </rPh>
    <rPh sb="2" eb="3">
      <t>タカ</t>
    </rPh>
    <phoneticPr fontId="2"/>
  </si>
  <si>
    <t>底盤高
Ｈ２</t>
    <rPh sb="0" eb="1">
      <t>テイ</t>
    </rPh>
    <rPh sb="1" eb="2">
      <t>バン</t>
    </rPh>
    <rPh sb="2" eb="3">
      <t>タカ</t>
    </rPh>
    <phoneticPr fontId="2"/>
  </si>
  <si>
    <t>断熱材
根入れ
Ｗ１</t>
    <rPh sb="0" eb="3">
      <t>ダンネツザイ</t>
    </rPh>
    <rPh sb="4" eb="5">
      <t>ネ</t>
    </rPh>
    <rPh sb="5" eb="6">
      <t>イ</t>
    </rPh>
    <phoneticPr fontId="2"/>
  </si>
  <si>
    <t>断熱材
折返し
Ｗ２</t>
    <rPh sb="0" eb="3">
      <t>ダンネツザイ</t>
    </rPh>
    <rPh sb="4" eb="6">
      <t>オリカエ</t>
    </rPh>
    <phoneticPr fontId="2"/>
  </si>
  <si>
    <t>断熱材
折返し
Ｗ３</t>
    <rPh sb="0" eb="3">
      <t>ダンネツザイ</t>
    </rPh>
    <rPh sb="4" eb="6">
      <t>オリカエ</t>
    </rPh>
    <phoneticPr fontId="2"/>
  </si>
  <si>
    <t>適　用
計算式
番　号</t>
    <rPh sb="0" eb="1">
      <t>テキ</t>
    </rPh>
    <rPh sb="2" eb="3">
      <t>ヨウ</t>
    </rPh>
    <rPh sb="4" eb="6">
      <t>ケイサン</t>
    </rPh>
    <rPh sb="6" eb="7">
      <t>シキ</t>
    </rPh>
    <rPh sb="8" eb="9">
      <t>バン</t>
    </rPh>
    <rPh sb="10" eb="11">
      <t>ゴウ</t>
    </rPh>
    <phoneticPr fontId="2"/>
  </si>
  <si>
    <t>　注１：上記各部の寸法は下図の寸法等（長さｍ、熱抵抗㎡K/W）を入力して下さい。</t>
    <rPh sb="1" eb="2">
      <t>チュウ</t>
    </rPh>
    <rPh sb="4" eb="6">
      <t>ジョウキ</t>
    </rPh>
    <rPh sb="6" eb="8">
      <t>カクブ</t>
    </rPh>
    <rPh sb="9" eb="11">
      <t>スンポウ</t>
    </rPh>
    <rPh sb="12" eb="14">
      <t>カズ</t>
    </rPh>
    <rPh sb="15" eb="17">
      <t>スンポウ</t>
    </rPh>
    <rPh sb="17" eb="18">
      <t>トウ</t>
    </rPh>
    <rPh sb="19" eb="20">
      <t>ナガ</t>
    </rPh>
    <rPh sb="23" eb="24">
      <t>ネツ</t>
    </rPh>
    <rPh sb="24" eb="26">
      <t>テイコウ</t>
    </rPh>
    <rPh sb="32" eb="34">
      <t>ニュウリョク</t>
    </rPh>
    <rPh sb="36" eb="37">
      <t>クダ</t>
    </rPh>
    <phoneticPr fontId="2"/>
  </si>
  <si>
    <t>　注２：Ｈ１の寸法（基礎高さ）は0.4ｍを上限とし、0.4ｍを超える部分は内訳計算シートＡで計算して下さい。</t>
    <rPh sb="1" eb="2">
      <t>チュウ</t>
    </rPh>
    <rPh sb="7" eb="9">
      <t>スンポウ</t>
    </rPh>
    <rPh sb="10" eb="12">
      <t>キソ</t>
    </rPh>
    <rPh sb="12" eb="13">
      <t>タカ</t>
    </rPh>
    <rPh sb="21" eb="23">
      <t>ジョウゲン</t>
    </rPh>
    <rPh sb="31" eb="32">
      <t>コ</t>
    </rPh>
    <rPh sb="34" eb="36">
      <t>ブブン</t>
    </rPh>
    <rPh sb="37" eb="39">
      <t>ウチワケ</t>
    </rPh>
    <rPh sb="39" eb="41">
      <t>ケイサン</t>
    </rPh>
    <rPh sb="46" eb="48">
      <t>ケイサン</t>
    </rPh>
    <rPh sb="50" eb="51">
      <t>クダ</t>
    </rPh>
    <phoneticPr fontId="2"/>
  </si>
  <si>
    <t>基礎等
外周長
Ｌ</t>
    <rPh sb="0" eb="2">
      <t>キソ</t>
    </rPh>
    <rPh sb="2" eb="3">
      <t>トウ</t>
    </rPh>
    <rPh sb="4" eb="6">
      <t>ガイシュウ</t>
    </rPh>
    <rPh sb="6" eb="7">
      <t>チョウ</t>
    </rPh>
    <phoneticPr fontId="2"/>
  </si>
  <si>
    <t>温度差
係　数</t>
    <rPh sb="0" eb="3">
      <t>オンドサ</t>
    </rPh>
    <rPh sb="4" eb="5">
      <t>カカ</t>
    </rPh>
    <rPh sb="6" eb="7">
      <t>スウ</t>
    </rPh>
    <phoneticPr fontId="2"/>
  </si>
  <si>
    <r>
      <t>内訳計算シートＣ　　</t>
    </r>
    <r>
      <rPr>
        <b/>
        <sz val="14"/>
        <rFont val="HG丸ｺﾞｼｯｸM-PRO"/>
        <family val="3"/>
        <charset val="128"/>
      </rPr>
      <t>＜基礎等＞</t>
    </r>
    <r>
      <rPr>
        <sz val="12"/>
        <rFont val="HG丸ｺﾞｼｯｸM-PRO"/>
        <family val="3"/>
        <charset val="128"/>
      </rPr>
      <t xml:space="preserve"> の熱損失量（基礎断熱及び土間床等の部分）</t>
    </r>
    <rPh sb="0" eb="2">
      <t>ウチワケ</t>
    </rPh>
    <rPh sb="2" eb="4">
      <t>ケイサン</t>
    </rPh>
    <rPh sb="11" eb="14">
      <t>キソトウ</t>
    </rPh>
    <rPh sb="17" eb="18">
      <t>ネツ</t>
    </rPh>
    <rPh sb="18" eb="20">
      <t>ソンシツ</t>
    </rPh>
    <rPh sb="20" eb="21">
      <t>リョウ</t>
    </rPh>
    <rPh sb="22" eb="24">
      <t>キソ</t>
    </rPh>
    <rPh sb="24" eb="26">
      <t>ダンネツ</t>
    </rPh>
    <rPh sb="26" eb="27">
      <t>オヨ</t>
    </rPh>
    <rPh sb="28" eb="30">
      <t>ドマ</t>
    </rPh>
    <rPh sb="30" eb="31">
      <t>ユカ</t>
    </rPh>
    <rPh sb="31" eb="32">
      <t>トウ</t>
    </rPh>
    <rPh sb="33" eb="35">
      <t>ブブン</t>
    </rPh>
    <phoneticPr fontId="2"/>
  </si>
  <si>
    <t>外壁
面積</t>
    <rPh sb="0" eb="2">
      <t>ガイヘキ</t>
    </rPh>
    <rPh sb="3" eb="5">
      <t>メンセキ</t>
    </rPh>
    <phoneticPr fontId="2"/>
  </si>
  <si>
    <t>計算対象
外壁面積</t>
    <rPh sb="0" eb="2">
      <t>ケイサン</t>
    </rPh>
    <rPh sb="2" eb="4">
      <t>タイショウ</t>
    </rPh>
    <rPh sb="5" eb="7">
      <t>ガイヘキ</t>
    </rPh>
    <rPh sb="7" eb="9">
      <t>メンセキ</t>
    </rPh>
    <phoneticPr fontId="2"/>
  </si>
  <si>
    <t>1）天窓等の入力</t>
    <rPh sb="2" eb="3">
      <t>テン</t>
    </rPh>
    <rPh sb="3" eb="4">
      <t>マド</t>
    </rPh>
    <rPh sb="4" eb="5">
      <t>トウ</t>
    </rPh>
    <rPh sb="6" eb="8">
      <t>ニュウリョク</t>
    </rPh>
    <phoneticPr fontId="2"/>
  </si>
  <si>
    <t>　外皮等面積（内訳）</t>
    <rPh sb="1" eb="3">
      <t>ガイヒ</t>
    </rPh>
    <rPh sb="3" eb="4">
      <t>トウ</t>
    </rPh>
    <rPh sb="4" eb="6">
      <t>メンセキ</t>
    </rPh>
    <rPh sb="7" eb="9">
      <t>ウチワケ</t>
    </rPh>
    <phoneticPr fontId="2"/>
  </si>
  <si>
    <r>
      <t>内訳計算シートＢ　　</t>
    </r>
    <r>
      <rPr>
        <b/>
        <sz val="14"/>
        <rFont val="HG丸ｺﾞｼｯｸM-PRO"/>
        <family val="3"/>
        <charset val="128"/>
      </rPr>
      <t>＜屋根・天井・床等＞</t>
    </r>
    <r>
      <rPr>
        <sz val="12"/>
        <rFont val="HG丸ｺﾞｼｯｸM-PRO"/>
        <family val="3"/>
        <charset val="128"/>
      </rPr>
      <t xml:space="preserve"> の外皮熱損失量と日射熱取得量</t>
    </r>
    <rPh sb="0" eb="2">
      <t>ウチワケ</t>
    </rPh>
    <rPh sb="2" eb="4">
      <t>ケイサン</t>
    </rPh>
    <rPh sb="17" eb="18">
      <t>ユカ</t>
    </rPh>
    <rPh sb="18" eb="19">
      <t>トウ</t>
    </rPh>
    <rPh sb="29" eb="31">
      <t>ニッシャ</t>
    </rPh>
    <rPh sb="31" eb="32">
      <t>ネツ</t>
    </rPh>
    <rPh sb="32" eb="34">
      <t>シュトク</t>
    </rPh>
    <rPh sb="34" eb="35">
      <t>リョウ</t>
    </rPh>
    <phoneticPr fontId="2"/>
  </si>
  <si>
    <t>2）屋根・天井・外気等に接する床（以下「屋根等」という。）の入力</t>
    <rPh sb="2" eb="4">
      <t>ヤネ</t>
    </rPh>
    <rPh sb="5" eb="7">
      <t>テンジョウ</t>
    </rPh>
    <rPh sb="8" eb="11">
      <t>ガイキトウ</t>
    </rPh>
    <rPh sb="17" eb="19">
      <t>イカ</t>
    </rPh>
    <rPh sb="20" eb="23">
      <t>ヤネトウ</t>
    </rPh>
    <rPh sb="30" eb="32">
      <t>ニュウリョク</t>
    </rPh>
    <phoneticPr fontId="2"/>
  </si>
  <si>
    <t>屋根等
面積</t>
    <rPh sb="0" eb="2">
      <t>ヤネ</t>
    </rPh>
    <rPh sb="2" eb="3">
      <t>トウ</t>
    </rPh>
    <rPh sb="4" eb="6">
      <t>メンセキ</t>
    </rPh>
    <phoneticPr fontId="2"/>
  </si>
  <si>
    <t>面積</t>
    <rPh sb="0" eb="2">
      <t>メンセキ</t>
    </rPh>
    <phoneticPr fontId="2"/>
  </si>
  <si>
    <t>屋根等他</t>
    <rPh sb="2" eb="3">
      <t>トウ</t>
    </rPh>
    <rPh sb="3" eb="4">
      <t>ホカ</t>
    </rPh>
    <phoneticPr fontId="2"/>
  </si>
  <si>
    <t>天窓</t>
    <rPh sb="0" eb="1">
      <t>テン</t>
    </rPh>
    <rPh sb="1" eb="2">
      <t>マド</t>
    </rPh>
    <phoneticPr fontId="2"/>
  </si>
  <si>
    <t>土間床等面積合計</t>
    <rPh sb="0" eb="2">
      <t>ドマ</t>
    </rPh>
    <rPh sb="2" eb="3">
      <t>ユカ</t>
    </rPh>
    <rPh sb="3" eb="4">
      <t>トウ</t>
    </rPh>
    <rPh sb="4" eb="6">
      <t>メンセキ</t>
    </rPh>
    <rPh sb="6" eb="8">
      <t>ゴウケイ</t>
    </rPh>
    <phoneticPr fontId="2"/>
  </si>
  <si>
    <t>部位
名称</t>
    <rPh sb="0" eb="2">
      <t>ブイ</t>
    </rPh>
    <rPh sb="3" eb="5">
      <t>メイショウ</t>
    </rPh>
    <phoneticPr fontId="2"/>
  </si>
  <si>
    <t>　</t>
  </si>
  <si>
    <t>冷房期
日射熱
取得量</t>
    <rPh sb="0" eb="2">
      <t>レイボウ</t>
    </rPh>
    <rPh sb="2" eb="3">
      <t>キ</t>
    </rPh>
    <rPh sb="4" eb="6">
      <t>ニッシャ</t>
    </rPh>
    <rPh sb="6" eb="7">
      <t>ネツ</t>
    </rPh>
    <rPh sb="8" eb="10">
      <t>シュトク</t>
    </rPh>
    <rPh sb="10" eb="11">
      <t>リョウ</t>
    </rPh>
    <phoneticPr fontId="2"/>
  </si>
  <si>
    <t>暖房期
日射熱
取得量</t>
    <rPh sb="0" eb="2">
      <t>ダンボウ</t>
    </rPh>
    <rPh sb="2" eb="3">
      <t>キ</t>
    </rPh>
    <phoneticPr fontId="2"/>
  </si>
  <si>
    <t>冷房期
日射熱
取得量</t>
    <rPh sb="0" eb="2">
      <t>レイボウ</t>
    </rPh>
    <rPh sb="2" eb="3">
      <t>キ</t>
    </rPh>
    <phoneticPr fontId="2"/>
  </si>
  <si>
    <t>ﾃﾞﾌｫﾙﾄ
値使用</t>
    <rPh sb="7" eb="8">
      <t>アタイ</t>
    </rPh>
    <rPh sb="8" eb="10">
      <t>シヨウ</t>
    </rPh>
    <phoneticPr fontId="2"/>
  </si>
  <si>
    <t>庇による補正計算</t>
    <rPh sb="0" eb="1">
      <t>ヒサシ</t>
    </rPh>
    <rPh sb="4" eb="6">
      <t>ホセイ</t>
    </rPh>
    <rPh sb="6" eb="8">
      <t>ケイサン</t>
    </rPh>
    <phoneticPr fontId="2"/>
  </si>
  <si>
    <t>取得日射量補正係数の算出</t>
    <rPh sb="0" eb="2">
      <t>シュトク</t>
    </rPh>
    <rPh sb="2" eb="4">
      <t>ニッシャ</t>
    </rPh>
    <rPh sb="4" eb="5">
      <t>リョウ</t>
    </rPh>
    <rPh sb="5" eb="7">
      <t>ホセイ</t>
    </rPh>
    <rPh sb="7" eb="9">
      <t>ケイスウ</t>
    </rPh>
    <rPh sb="10" eb="12">
      <t>サンシュツ</t>
    </rPh>
    <phoneticPr fontId="2"/>
  </si>
  <si>
    <t>　冷房期総日射熱取得量</t>
    <rPh sb="1" eb="3">
      <t>レイボウ</t>
    </rPh>
    <rPh sb="3" eb="4">
      <t>キ</t>
    </rPh>
    <rPh sb="4" eb="5">
      <t>ソウ</t>
    </rPh>
    <rPh sb="5" eb="7">
      <t>ニッシャ</t>
    </rPh>
    <rPh sb="7" eb="8">
      <t>ネツ</t>
    </rPh>
    <rPh sb="8" eb="10">
      <t>シュトク</t>
    </rPh>
    <rPh sb="10" eb="11">
      <t>リョウ</t>
    </rPh>
    <phoneticPr fontId="2"/>
  </si>
  <si>
    <t>　暖房期総日射熱取得量</t>
    <rPh sb="1" eb="3">
      <t>ダンボウ</t>
    </rPh>
    <rPh sb="3" eb="4">
      <t>キ</t>
    </rPh>
    <rPh sb="4" eb="5">
      <t>ソウ</t>
    </rPh>
    <rPh sb="5" eb="7">
      <t>ニッシャ</t>
    </rPh>
    <rPh sb="7" eb="8">
      <t>ネツ</t>
    </rPh>
    <rPh sb="8" eb="10">
      <t>シュトク</t>
    </rPh>
    <rPh sb="10" eb="11">
      <t>リョウ</t>
    </rPh>
    <phoneticPr fontId="2"/>
  </si>
  <si>
    <t>日射熱取得量</t>
    <rPh sb="0" eb="2">
      <t>ニッシャ</t>
    </rPh>
    <rPh sb="2" eb="3">
      <t>ネツ</t>
    </rPh>
    <rPh sb="3" eb="5">
      <t>シュトク</t>
    </rPh>
    <rPh sb="5" eb="6">
      <t>リョウ</t>
    </rPh>
    <phoneticPr fontId="2"/>
  </si>
  <si>
    <t>取得日射量補正係数(FALSEの場合)</t>
    <rPh sb="0" eb="2">
      <t>シュトク</t>
    </rPh>
    <rPh sb="2" eb="4">
      <t>ニッシャ</t>
    </rPh>
    <rPh sb="4" eb="5">
      <t>リョウ</t>
    </rPh>
    <rPh sb="5" eb="7">
      <t>ホセイ</t>
    </rPh>
    <rPh sb="7" eb="9">
      <t>ケイスウ</t>
    </rPh>
    <rPh sb="16" eb="18">
      <t>バアイ</t>
    </rPh>
    <phoneticPr fontId="2"/>
  </si>
  <si>
    <r>
      <t>内訳計算シートＡ　　</t>
    </r>
    <r>
      <rPr>
        <b/>
        <sz val="14"/>
        <rFont val="HG丸ｺﾞｼｯｸM-PRO"/>
        <family val="3"/>
        <charset val="128"/>
      </rPr>
      <t>＜北面＞</t>
    </r>
    <r>
      <rPr>
        <b/>
        <sz val="12"/>
        <rFont val="HG丸ｺﾞｼｯｸM-PRO"/>
        <family val="3"/>
        <charset val="128"/>
      </rPr>
      <t xml:space="preserve"> </t>
    </r>
    <r>
      <rPr>
        <sz val="12"/>
        <rFont val="HG丸ｺﾞｼｯｸM-PRO"/>
        <family val="3"/>
        <charset val="128"/>
      </rPr>
      <t>の外皮熱損失量と日射熱取得量</t>
    </r>
    <rPh sb="0" eb="2">
      <t>ウチワケ</t>
    </rPh>
    <rPh sb="2" eb="4">
      <t>ケイサン</t>
    </rPh>
    <rPh sb="11" eb="12">
      <t>キタ</t>
    </rPh>
    <rPh sb="12" eb="13">
      <t>メン</t>
    </rPh>
    <rPh sb="23" eb="25">
      <t>ニッシャ</t>
    </rPh>
    <rPh sb="25" eb="26">
      <t>ネツ</t>
    </rPh>
    <rPh sb="26" eb="28">
      <t>シュトク</t>
    </rPh>
    <rPh sb="28" eb="29">
      <t>リョウ</t>
    </rPh>
    <phoneticPr fontId="2"/>
  </si>
  <si>
    <r>
      <t xml:space="preserve">窓 </t>
    </r>
    <r>
      <rPr>
        <b/>
        <sz val="11"/>
        <rFont val="HG丸ｺﾞｼｯｸM-PRO"/>
        <family val="3"/>
        <charset val="128"/>
      </rPr>
      <t>＜北面＞</t>
    </r>
    <r>
      <rPr>
        <sz val="11"/>
        <rFont val="HG丸ｺﾞｼｯｸM-PRO"/>
        <family val="3"/>
        <charset val="128"/>
      </rPr>
      <t xml:space="preserve"> 各値合計</t>
    </r>
    <rPh sb="0" eb="1">
      <t>マド</t>
    </rPh>
    <rPh sb="3" eb="4">
      <t>キタ</t>
    </rPh>
    <rPh sb="4" eb="5">
      <t>メン</t>
    </rPh>
    <rPh sb="7" eb="8">
      <t>カク</t>
    </rPh>
    <rPh sb="8" eb="9">
      <t>アタイ</t>
    </rPh>
    <rPh sb="9" eb="11">
      <t>ゴウケイ</t>
    </rPh>
    <phoneticPr fontId="2"/>
  </si>
  <si>
    <r>
      <t xml:space="preserve">外壁 </t>
    </r>
    <r>
      <rPr>
        <b/>
        <sz val="11"/>
        <rFont val="HG丸ｺﾞｼｯｸM-PRO"/>
        <family val="3"/>
        <charset val="128"/>
      </rPr>
      <t>＜北面＞</t>
    </r>
    <r>
      <rPr>
        <sz val="11"/>
        <rFont val="HG丸ｺﾞｼｯｸM-PRO"/>
        <family val="3"/>
        <charset val="128"/>
      </rPr>
      <t xml:space="preserve"> 各値合計</t>
    </r>
    <rPh sb="0" eb="2">
      <t>ガイヘキ</t>
    </rPh>
    <rPh sb="4" eb="5">
      <t>キタ</t>
    </rPh>
    <phoneticPr fontId="2"/>
  </si>
  <si>
    <t>北面</t>
    <rPh sb="0" eb="1">
      <t>キタ</t>
    </rPh>
    <rPh sb="1" eb="2">
      <t>メン</t>
    </rPh>
    <phoneticPr fontId="2"/>
  </si>
  <si>
    <t>H1≦0.4</t>
    <phoneticPr fontId="2"/>
  </si>
  <si>
    <t>W≦0.9</t>
    <phoneticPr fontId="2"/>
  </si>
  <si>
    <t xml:space="preserve"> 部分に入力するか、あるいはドロップボックスから選択してください。</t>
    <rPh sb="1" eb="3">
      <t>ブブン</t>
    </rPh>
    <rPh sb="4" eb="6">
      <t>ニュウリョク</t>
    </rPh>
    <rPh sb="24" eb="26">
      <t>センタク</t>
    </rPh>
    <phoneticPr fontId="2"/>
  </si>
  <si>
    <t>黄色</t>
    <rPh sb="0" eb="2">
      <t>キイロ</t>
    </rPh>
    <phoneticPr fontId="2"/>
  </si>
  <si>
    <t>⊿R</t>
  </si>
  <si>
    <t>⊿R</t>
    <phoneticPr fontId="2"/>
  </si>
  <si>
    <t>Ui</t>
  </si>
  <si>
    <t>Ui</t>
    <phoneticPr fontId="2"/>
  </si>
  <si>
    <t>補正熱貫流率</t>
  </si>
  <si>
    <t>補正熱貫流率</t>
    <rPh sb="0" eb="2">
      <t>ホセイ</t>
    </rPh>
    <rPh sb="2" eb="3">
      <t>ネツ</t>
    </rPh>
    <rPh sb="3" eb="5">
      <t>カンリュウ</t>
    </rPh>
    <rPh sb="5" eb="6">
      <t>リツ</t>
    </rPh>
    <phoneticPr fontId="2"/>
  </si>
  <si>
    <t>基礎等熱損失合計</t>
    <rPh sb="0" eb="2">
      <t>キソ</t>
    </rPh>
    <rPh sb="2" eb="3">
      <t>トウ</t>
    </rPh>
    <rPh sb="3" eb="4">
      <t>ネツ</t>
    </rPh>
    <rPh sb="4" eb="6">
      <t>ソンシツ</t>
    </rPh>
    <rPh sb="6" eb="8">
      <t>ゴウケイ</t>
    </rPh>
    <phoneticPr fontId="2"/>
  </si>
  <si>
    <t>寸法（ｍ）</t>
    <rPh sb="0" eb="2">
      <t>スンポウ</t>
    </rPh>
    <phoneticPr fontId="2"/>
  </si>
  <si>
    <t>温度差係数</t>
    <rPh sb="0" eb="3">
      <t>オンドサ</t>
    </rPh>
    <rPh sb="3" eb="5">
      <t>ケイスウ</t>
    </rPh>
    <phoneticPr fontId="2"/>
  </si>
  <si>
    <t>　　上表は分けて入力して下さい。その際、面積は重複しないように片方のみを入力して下さい。</t>
    <rPh sb="2" eb="3">
      <t>ジョウ</t>
    </rPh>
    <rPh sb="3" eb="4">
      <t>ヒョウ</t>
    </rPh>
    <rPh sb="5" eb="6">
      <t>ワ</t>
    </rPh>
    <rPh sb="8" eb="9">
      <t>ニュウ</t>
    </rPh>
    <rPh sb="9" eb="10">
      <t>リョク</t>
    </rPh>
    <rPh sb="12" eb="13">
      <t>クダ</t>
    </rPh>
    <phoneticPr fontId="2"/>
  </si>
  <si>
    <t>外皮性能基準値</t>
    <rPh sb="0" eb="2">
      <t>ガイヒ</t>
    </rPh>
    <rPh sb="2" eb="4">
      <t>セイノウ</t>
    </rPh>
    <rPh sb="4" eb="7">
      <t>キジュンチ</t>
    </rPh>
    <phoneticPr fontId="2"/>
  </si>
  <si>
    <t>3）省エネルギー基準外皮性能適合可否結果</t>
    <phoneticPr fontId="2"/>
  </si>
  <si>
    <t>計算結果</t>
  </si>
  <si>
    <t>基準値</t>
  </si>
  <si>
    <t>判定</t>
  </si>
  <si>
    <t>日射熱
取得率
※1</t>
    <rPh sb="0" eb="2">
      <t>ニッシャ</t>
    </rPh>
    <rPh sb="2" eb="3">
      <t>ネツ</t>
    </rPh>
    <rPh sb="4" eb="6">
      <t>シュトク</t>
    </rPh>
    <rPh sb="6" eb="7">
      <t>リツ</t>
    </rPh>
    <phoneticPr fontId="2"/>
  </si>
  <si>
    <t>更新履歴</t>
    <rPh sb="0" eb="4">
      <t>コウシンリレキ</t>
    </rPh>
    <phoneticPr fontId="2"/>
  </si>
  <si>
    <t>更新内容</t>
    <rPh sb="0" eb="2">
      <t>コウシン</t>
    </rPh>
    <rPh sb="2" eb="4">
      <t>ナイヨウ</t>
    </rPh>
    <phoneticPr fontId="2"/>
  </si>
  <si>
    <t>北東面</t>
    <rPh sb="2" eb="3">
      <t>メン</t>
    </rPh>
    <phoneticPr fontId="2"/>
  </si>
  <si>
    <t>東面</t>
    <rPh sb="1" eb="2">
      <t>メン</t>
    </rPh>
    <phoneticPr fontId="2"/>
  </si>
  <si>
    <t>南東面</t>
    <rPh sb="2" eb="3">
      <t>メン</t>
    </rPh>
    <phoneticPr fontId="2"/>
  </si>
  <si>
    <t>南面</t>
    <rPh sb="1" eb="2">
      <t>メン</t>
    </rPh>
    <phoneticPr fontId="2"/>
  </si>
  <si>
    <t>南西面</t>
    <rPh sb="2" eb="3">
      <t>メン</t>
    </rPh>
    <phoneticPr fontId="2"/>
  </si>
  <si>
    <t>西面</t>
    <rPh sb="1" eb="2">
      <t>メン</t>
    </rPh>
    <phoneticPr fontId="2"/>
  </si>
  <si>
    <t>北西面</t>
    <rPh sb="2" eb="3">
      <t>メン</t>
    </rPh>
    <phoneticPr fontId="2"/>
  </si>
  <si>
    <r>
      <t>内訳計算シートＡ　　</t>
    </r>
    <r>
      <rPr>
        <b/>
        <sz val="12"/>
        <rFont val="HG丸ｺﾞｼｯｸM-PRO"/>
        <family val="3"/>
        <charset val="128"/>
      </rPr>
      <t>＜北東面＞</t>
    </r>
    <r>
      <rPr>
        <sz val="12"/>
        <rFont val="HG丸ｺﾞｼｯｸM-PRO"/>
        <family val="3"/>
        <charset val="128"/>
      </rPr>
      <t xml:space="preserve"> の外皮熱損失量と日射熱取得量</t>
    </r>
    <rPh sb="0" eb="2">
      <t>ウチワケ</t>
    </rPh>
    <rPh sb="2" eb="4">
      <t>ケイサン</t>
    </rPh>
    <rPh sb="13" eb="14">
      <t>メン</t>
    </rPh>
    <rPh sb="24" eb="26">
      <t>ニッシャ</t>
    </rPh>
    <rPh sb="26" eb="27">
      <t>ネツ</t>
    </rPh>
    <rPh sb="27" eb="29">
      <t>シュトク</t>
    </rPh>
    <rPh sb="29" eb="30">
      <t>リョウ</t>
    </rPh>
    <phoneticPr fontId="2"/>
  </si>
  <si>
    <r>
      <t>内訳計算シートＡ　　</t>
    </r>
    <r>
      <rPr>
        <b/>
        <sz val="12"/>
        <rFont val="HG丸ｺﾞｼｯｸM-PRO"/>
        <family val="3"/>
        <charset val="128"/>
      </rPr>
      <t>＜東面＞</t>
    </r>
    <r>
      <rPr>
        <sz val="12"/>
        <rFont val="HG丸ｺﾞｼｯｸM-PRO"/>
        <family val="3"/>
        <charset val="128"/>
      </rPr>
      <t xml:space="preserve"> の外皮熱損失量と日射熱取得量</t>
    </r>
    <rPh sb="0" eb="2">
      <t>ウチワケ</t>
    </rPh>
    <rPh sb="2" eb="4">
      <t>ケイサン</t>
    </rPh>
    <rPh sb="12" eb="13">
      <t>メン</t>
    </rPh>
    <rPh sb="23" eb="25">
      <t>ニッシャ</t>
    </rPh>
    <rPh sb="25" eb="26">
      <t>ネツ</t>
    </rPh>
    <rPh sb="26" eb="28">
      <t>シュトク</t>
    </rPh>
    <rPh sb="28" eb="29">
      <t>リョウ</t>
    </rPh>
    <phoneticPr fontId="2"/>
  </si>
  <si>
    <r>
      <t>内訳計算シートＡ　　</t>
    </r>
    <r>
      <rPr>
        <b/>
        <sz val="12"/>
        <rFont val="HG丸ｺﾞｼｯｸM-PRO"/>
        <family val="3"/>
        <charset val="128"/>
      </rPr>
      <t>＜南東面＞</t>
    </r>
    <r>
      <rPr>
        <sz val="12"/>
        <rFont val="HG丸ｺﾞｼｯｸM-PRO"/>
        <family val="3"/>
        <charset val="128"/>
      </rPr>
      <t xml:space="preserve"> の外皮熱損失量と日射熱取得量</t>
    </r>
    <rPh sb="0" eb="2">
      <t>ウチワケ</t>
    </rPh>
    <rPh sb="2" eb="4">
      <t>ケイサン</t>
    </rPh>
    <rPh sb="13" eb="14">
      <t>メン</t>
    </rPh>
    <rPh sb="24" eb="26">
      <t>ニッシャ</t>
    </rPh>
    <rPh sb="26" eb="27">
      <t>ネツ</t>
    </rPh>
    <rPh sb="27" eb="29">
      <t>シュトク</t>
    </rPh>
    <rPh sb="29" eb="30">
      <t>リョウ</t>
    </rPh>
    <phoneticPr fontId="2"/>
  </si>
  <si>
    <r>
      <t>内訳計算シートＡ　　</t>
    </r>
    <r>
      <rPr>
        <b/>
        <sz val="12"/>
        <rFont val="HG丸ｺﾞｼｯｸM-PRO"/>
        <family val="3"/>
        <charset val="128"/>
      </rPr>
      <t>＜南面＞</t>
    </r>
    <r>
      <rPr>
        <sz val="12"/>
        <rFont val="HG丸ｺﾞｼｯｸM-PRO"/>
        <family val="3"/>
        <charset val="128"/>
      </rPr>
      <t xml:space="preserve"> の外皮熱損失量と日射熱取得量</t>
    </r>
    <rPh sb="0" eb="2">
      <t>ウチワケ</t>
    </rPh>
    <rPh sb="2" eb="4">
      <t>ケイサン</t>
    </rPh>
    <rPh sb="12" eb="13">
      <t>メン</t>
    </rPh>
    <rPh sb="23" eb="25">
      <t>ニッシャ</t>
    </rPh>
    <rPh sb="25" eb="26">
      <t>ネツ</t>
    </rPh>
    <rPh sb="26" eb="28">
      <t>シュトク</t>
    </rPh>
    <rPh sb="28" eb="29">
      <t>リョウ</t>
    </rPh>
    <phoneticPr fontId="2"/>
  </si>
  <si>
    <r>
      <t>内訳計算シートＡ　　</t>
    </r>
    <r>
      <rPr>
        <b/>
        <sz val="12"/>
        <rFont val="HG丸ｺﾞｼｯｸM-PRO"/>
        <family val="3"/>
        <charset val="128"/>
      </rPr>
      <t>＜南西面＞</t>
    </r>
    <r>
      <rPr>
        <sz val="12"/>
        <rFont val="HG丸ｺﾞｼｯｸM-PRO"/>
        <family val="3"/>
        <charset val="128"/>
      </rPr>
      <t xml:space="preserve"> の外皮熱損失量と日射熱取得量</t>
    </r>
    <rPh sb="0" eb="2">
      <t>ウチワケ</t>
    </rPh>
    <rPh sb="2" eb="4">
      <t>ケイサン</t>
    </rPh>
    <rPh sb="13" eb="14">
      <t>メン</t>
    </rPh>
    <rPh sb="24" eb="26">
      <t>ニッシャ</t>
    </rPh>
    <rPh sb="26" eb="27">
      <t>ネツ</t>
    </rPh>
    <rPh sb="27" eb="29">
      <t>シュトク</t>
    </rPh>
    <rPh sb="29" eb="30">
      <t>リョウ</t>
    </rPh>
    <phoneticPr fontId="2"/>
  </si>
  <si>
    <r>
      <t>内訳計算シートＡ　　</t>
    </r>
    <r>
      <rPr>
        <b/>
        <sz val="12"/>
        <rFont val="HG丸ｺﾞｼｯｸM-PRO"/>
        <family val="3"/>
        <charset val="128"/>
      </rPr>
      <t>＜西面＞</t>
    </r>
    <r>
      <rPr>
        <sz val="12"/>
        <rFont val="HG丸ｺﾞｼｯｸM-PRO"/>
        <family val="3"/>
        <charset val="128"/>
      </rPr>
      <t xml:space="preserve"> の外皮熱損失量と日射熱取得量</t>
    </r>
    <rPh sb="0" eb="2">
      <t>ウチワケ</t>
    </rPh>
    <rPh sb="2" eb="4">
      <t>ケイサン</t>
    </rPh>
    <rPh sb="12" eb="13">
      <t>メン</t>
    </rPh>
    <rPh sb="23" eb="25">
      <t>ニッシャ</t>
    </rPh>
    <rPh sb="25" eb="26">
      <t>ネツ</t>
    </rPh>
    <rPh sb="26" eb="28">
      <t>シュトク</t>
    </rPh>
    <rPh sb="28" eb="29">
      <t>リョウ</t>
    </rPh>
    <phoneticPr fontId="2"/>
  </si>
  <si>
    <r>
      <t>内訳計算シートＡ　　</t>
    </r>
    <r>
      <rPr>
        <b/>
        <sz val="12"/>
        <rFont val="HG丸ｺﾞｼｯｸM-PRO"/>
        <family val="3"/>
        <charset val="128"/>
      </rPr>
      <t>＜北西面＞</t>
    </r>
    <r>
      <rPr>
        <sz val="12"/>
        <rFont val="HG丸ｺﾞｼｯｸM-PRO"/>
        <family val="3"/>
        <charset val="128"/>
      </rPr>
      <t xml:space="preserve"> の外皮熱損失量と日射熱取得量</t>
    </r>
    <rPh sb="0" eb="2">
      <t>ウチワケ</t>
    </rPh>
    <rPh sb="2" eb="4">
      <t>ケイサン</t>
    </rPh>
    <rPh sb="13" eb="14">
      <t>メン</t>
    </rPh>
    <rPh sb="24" eb="26">
      <t>ニッシャ</t>
    </rPh>
    <rPh sb="26" eb="27">
      <t>ネツ</t>
    </rPh>
    <rPh sb="27" eb="29">
      <t>シュトク</t>
    </rPh>
    <rPh sb="29" eb="30">
      <t>リョウ</t>
    </rPh>
    <phoneticPr fontId="2"/>
  </si>
  <si>
    <r>
      <t xml:space="preserve">4）住宅 </t>
    </r>
    <r>
      <rPr>
        <b/>
        <sz val="11"/>
        <rFont val="HG丸ｺﾞｼｯｸM-PRO"/>
        <family val="3"/>
        <charset val="128"/>
      </rPr>
      <t>＜北面＞</t>
    </r>
    <r>
      <rPr>
        <sz val="11"/>
        <rFont val="HG丸ｺﾞｼｯｸM-PRO"/>
        <family val="3"/>
        <charset val="128"/>
      </rPr>
      <t xml:space="preserve"> 計算結果</t>
    </r>
    <rPh sb="2" eb="4">
      <t>ジュウタク</t>
    </rPh>
    <rPh sb="6" eb="7">
      <t>キタ</t>
    </rPh>
    <rPh sb="7" eb="8">
      <t>メン</t>
    </rPh>
    <rPh sb="10" eb="12">
      <t>ケイサン</t>
    </rPh>
    <rPh sb="12" eb="14">
      <t>ケッカ</t>
    </rPh>
    <phoneticPr fontId="2"/>
  </si>
  <si>
    <r>
      <t xml:space="preserve">4）住宅 </t>
    </r>
    <r>
      <rPr>
        <b/>
        <sz val="11"/>
        <rFont val="HG丸ｺﾞｼｯｸM-PRO"/>
        <family val="3"/>
        <charset val="128"/>
      </rPr>
      <t>＜北東面＞</t>
    </r>
    <r>
      <rPr>
        <sz val="11"/>
        <rFont val="HG丸ｺﾞｼｯｸM-PRO"/>
        <family val="3"/>
        <charset val="128"/>
      </rPr>
      <t xml:space="preserve"> 計算結果</t>
    </r>
    <rPh sb="2" eb="4">
      <t>ジュウタク</t>
    </rPh>
    <rPh sb="8" eb="9">
      <t>メン</t>
    </rPh>
    <rPh sb="11" eb="13">
      <t>ケイサン</t>
    </rPh>
    <rPh sb="13" eb="15">
      <t>ケッカ</t>
    </rPh>
    <phoneticPr fontId="2"/>
  </si>
  <si>
    <r>
      <t xml:space="preserve">外壁 </t>
    </r>
    <r>
      <rPr>
        <b/>
        <sz val="11"/>
        <rFont val="HG丸ｺﾞｼｯｸM-PRO"/>
        <family val="3"/>
        <charset val="128"/>
      </rPr>
      <t>＜北東面＞</t>
    </r>
    <r>
      <rPr>
        <sz val="11"/>
        <rFont val="HG丸ｺﾞｼｯｸM-PRO"/>
        <family val="3"/>
        <charset val="128"/>
      </rPr>
      <t xml:space="preserve"> 各値合計</t>
    </r>
    <rPh sb="0" eb="2">
      <t>ガイヘキ</t>
    </rPh>
    <phoneticPr fontId="2"/>
  </si>
  <si>
    <r>
      <t xml:space="preserve">窓 </t>
    </r>
    <r>
      <rPr>
        <b/>
        <sz val="11"/>
        <rFont val="HG丸ｺﾞｼｯｸM-PRO"/>
        <family val="3"/>
        <charset val="128"/>
      </rPr>
      <t>＜北東面＞</t>
    </r>
    <r>
      <rPr>
        <sz val="11"/>
        <rFont val="HG丸ｺﾞｼｯｸM-PRO"/>
        <family val="3"/>
        <charset val="128"/>
      </rPr>
      <t xml:space="preserve"> 各値合計</t>
    </r>
    <rPh sb="0" eb="1">
      <t>マド</t>
    </rPh>
    <rPh sb="5" eb="6">
      <t>メン</t>
    </rPh>
    <rPh sb="8" eb="9">
      <t>カク</t>
    </rPh>
    <rPh sb="9" eb="10">
      <t>アタイ</t>
    </rPh>
    <rPh sb="10" eb="12">
      <t>ゴウケイ</t>
    </rPh>
    <phoneticPr fontId="2"/>
  </si>
  <si>
    <r>
      <t xml:space="preserve">窓 </t>
    </r>
    <r>
      <rPr>
        <b/>
        <sz val="11"/>
        <rFont val="HG丸ｺﾞｼｯｸM-PRO"/>
        <family val="3"/>
        <charset val="128"/>
      </rPr>
      <t>＜東面＞</t>
    </r>
    <r>
      <rPr>
        <sz val="11"/>
        <rFont val="HG丸ｺﾞｼｯｸM-PRO"/>
        <family val="3"/>
        <charset val="128"/>
      </rPr>
      <t xml:space="preserve"> 各値合計</t>
    </r>
    <rPh sb="0" eb="1">
      <t>マド</t>
    </rPh>
    <rPh sb="4" eb="5">
      <t>メン</t>
    </rPh>
    <rPh sb="7" eb="8">
      <t>カク</t>
    </rPh>
    <rPh sb="8" eb="9">
      <t>アタイ</t>
    </rPh>
    <rPh sb="9" eb="11">
      <t>ゴウケイ</t>
    </rPh>
    <phoneticPr fontId="2"/>
  </si>
  <si>
    <r>
      <t xml:space="preserve">外壁 </t>
    </r>
    <r>
      <rPr>
        <b/>
        <sz val="11"/>
        <rFont val="HG丸ｺﾞｼｯｸM-PRO"/>
        <family val="3"/>
        <charset val="128"/>
      </rPr>
      <t>＜東面＞</t>
    </r>
    <r>
      <rPr>
        <sz val="11"/>
        <rFont val="HG丸ｺﾞｼｯｸM-PRO"/>
        <family val="3"/>
        <charset val="128"/>
      </rPr>
      <t xml:space="preserve"> 各値合計</t>
    </r>
    <rPh sb="0" eb="2">
      <t>ガイヘキ</t>
    </rPh>
    <phoneticPr fontId="2"/>
  </si>
  <si>
    <r>
      <t xml:space="preserve">4）住宅 </t>
    </r>
    <r>
      <rPr>
        <b/>
        <sz val="11"/>
        <rFont val="HG丸ｺﾞｼｯｸM-PRO"/>
        <family val="3"/>
        <charset val="128"/>
      </rPr>
      <t>＜東面＞</t>
    </r>
    <r>
      <rPr>
        <sz val="11"/>
        <rFont val="HG丸ｺﾞｼｯｸM-PRO"/>
        <family val="3"/>
        <charset val="128"/>
      </rPr>
      <t xml:space="preserve"> 計算結果</t>
    </r>
    <rPh sb="2" eb="4">
      <t>ジュウタク</t>
    </rPh>
    <rPh sb="7" eb="8">
      <t>メン</t>
    </rPh>
    <rPh sb="10" eb="12">
      <t>ケイサン</t>
    </rPh>
    <rPh sb="12" eb="14">
      <t>ケッカ</t>
    </rPh>
    <phoneticPr fontId="2"/>
  </si>
  <si>
    <r>
      <t xml:space="preserve">窓 </t>
    </r>
    <r>
      <rPr>
        <b/>
        <sz val="11"/>
        <rFont val="HG丸ｺﾞｼｯｸM-PRO"/>
        <family val="3"/>
        <charset val="128"/>
      </rPr>
      <t>＜南東面＞</t>
    </r>
    <r>
      <rPr>
        <sz val="11"/>
        <rFont val="HG丸ｺﾞｼｯｸM-PRO"/>
        <family val="3"/>
        <charset val="128"/>
      </rPr>
      <t xml:space="preserve"> 各値合計</t>
    </r>
    <rPh sb="0" eb="1">
      <t>マド</t>
    </rPh>
    <rPh sb="5" eb="6">
      <t>メン</t>
    </rPh>
    <rPh sb="8" eb="9">
      <t>カク</t>
    </rPh>
    <rPh sb="9" eb="10">
      <t>アタイ</t>
    </rPh>
    <rPh sb="10" eb="12">
      <t>ゴウケイ</t>
    </rPh>
    <phoneticPr fontId="2"/>
  </si>
  <si>
    <r>
      <t xml:space="preserve">外壁 </t>
    </r>
    <r>
      <rPr>
        <b/>
        <sz val="11"/>
        <rFont val="HG丸ｺﾞｼｯｸM-PRO"/>
        <family val="3"/>
        <charset val="128"/>
      </rPr>
      <t>＜南東面＞</t>
    </r>
    <r>
      <rPr>
        <sz val="11"/>
        <rFont val="HG丸ｺﾞｼｯｸM-PRO"/>
        <family val="3"/>
        <charset val="128"/>
      </rPr>
      <t xml:space="preserve"> 各値合計</t>
    </r>
    <rPh sb="0" eb="2">
      <t>ガイヘキ</t>
    </rPh>
    <phoneticPr fontId="2"/>
  </si>
  <si>
    <r>
      <t xml:space="preserve">4）住宅 </t>
    </r>
    <r>
      <rPr>
        <b/>
        <sz val="11"/>
        <rFont val="HG丸ｺﾞｼｯｸM-PRO"/>
        <family val="3"/>
        <charset val="128"/>
      </rPr>
      <t>＜南東面＞</t>
    </r>
    <r>
      <rPr>
        <sz val="11"/>
        <rFont val="HG丸ｺﾞｼｯｸM-PRO"/>
        <family val="3"/>
        <charset val="128"/>
      </rPr>
      <t xml:space="preserve"> 計算結果</t>
    </r>
    <rPh sb="2" eb="4">
      <t>ジュウタク</t>
    </rPh>
    <rPh sb="8" eb="9">
      <t>メン</t>
    </rPh>
    <rPh sb="11" eb="13">
      <t>ケイサン</t>
    </rPh>
    <rPh sb="13" eb="15">
      <t>ケッカ</t>
    </rPh>
    <phoneticPr fontId="2"/>
  </si>
  <si>
    <r>
      <t xml:space="preserve">窓 </t>
    </r>
    <r>
      <rPr>
        <b/>
        <sz val="11"/>
        <rFont val="HG丸ｺﾞｼｯｸM-PRO"/>
        <family val="3"/>
        <charset val="128"/>
      </rPr>
      <t>＜南面＞</t>
    </r>
    <r>
      <rPr>
        <sz val="11"/>
        <rFont val="HG丸ｺﾞｼｯｸM-PRO"/>
        <family val="3"/>
        <charset val="128"/>
      </rPr>
      <t xml:space="preserve"> 各値合計</t>
    </r>
    <rPh sb="0" eb="1">
      <t>マド</t>
    </rPh>
    <rPh sb="4" eb="5">
      <t>メン</t>
    </rPh>
    <rPh sb="7" eb="8">
      <t>カク</t>
    </rPh>
    <rPh sb="8" eb="9">
      <t>アタイ</t>
    </rPh>
    <rPh sb="9" eb="11">
      <t>ゴウケイ</t>
    </rPh>
    <phoneticPr fontId="2"/>
  </si>
  <si>
    <r>
      <t xml:space="preserve">外壁 </t>
    </r>
    <r>
      <rPr>
        <b/>
        <sz val="11"/>
        <rFont val="HG丸ｺﾞｼｯｸM-PRO"/>
        <family val="3"/>
        <charset val="128"/>
      </rPr>
      <t>＜南面＞</t>
    </r>
    <r>
      <rPr>
        <sz val="11"/>
        <rFont val="HG丸ｺﾞｼｯｸM-PRO"/>
        <family val="3"/>
        <charset val="128"/>
      </rPr>
      <t xml:space="preserve"> 各値合計</t>
    </r>
    <rPh sb="0" eb="2">
      <t>ガイヘキ</t>
    </rPh>
    <phoneticPr fontId="2"/>
  </si>
  <si>
    <r>
      <t xml:space="preserve">4）住宅 </t>
    </r>
    <r>
      <rPr>
        <b/>
        <sz val="11"/>
        <rFont val="HG丸ｺﾞｼｯｸM-PRO"/>
        <family val="3"/>
        <charset val="128"/>
      </rPr>
      <t>＜南面＞</t>
    </r>
    <r>
      <rPr>
        <sz val="11"/>
        <rFont val="HG丸ｺﾞｼｯｸM-PRO"/>
        <family val="3"/>
        <charset val="128"/>
      </rPr>
      <t xml:space="preserve"> 計算結果</t>
    </r>
    <rPh sb="2" eb="4">
      <t>ジュウタク</t>
    </rPh>
    <rPh sb="7" eb="8">
      <t>メン</t>
    </rPh>
    <rPh sb="10" eb="12">
      <t>ケイサン</t>
    </rPh>
    <rPh sb="12" eb="14">
      <t>ケッカ</t>
    </rPh>
    <phoneticPr fontId="2"/>
  </si>
  <si>
    <r>
      <t xml:space="preserve">窓 </t>
    </r>
    <r>
      <rPr>
        <b/>
        <sz val="11"/>
        <rFont val="HG丸ｺﾞｼｯｸM-PRO"/>
        <family val="3"/>
        <charset val="128"/>
      </rPr>
      <t>＜南西面＞</t>
    </r>
    <r>
      <rPr>
        <sz val="11"/>
        <rFont val="HG丸ｺﾞｼｯｸM-PRO"/>
        <family val="3"/>
        <charset val="128"/>
      </rPr>
      <t xml:space="preserve"> 各値合計</t>
    </r>
    <rPh sb="0" eb="1">
      <t>マド</t>
    </rPh>
    <rPh sb="5" eb="6">
      <t>メン</t>
    </rPh>
    <rPh sb="8" eb="9">
      <t>カク</t>
    </rPh>
    <rPh sb="9" eb="10">
      <t>アタイ</t>
    </rPh>
    <rPh sb="10" eb="12">
      <t>ゴウケイ</t>
    </rPh>
    <phoneticPr fontId="2"/>
  </si>
  <si>
    <r>
      <t xml:space="preserve">外壁 </t>
    </r>
    <r>
      <rPr>
        <b/>
        <sz val="11"/>
        <rFont val="HG丸ｺﾞｼｯｸM-PRO"/>
        <family val="3"/>
        <charset val="128"/>
      </rPr>
      <t>＜南西面＞</t>
    </r>
    <r>
      <rPr>
        <sz val="11"/>
        <rFont val="HG丸ｺﾞｼｯｸM-PRO"/>
        <family val="3"/>
        <charset val="128"/>
      </rPr>
      <t xml:space="preserve"> 各値合計</t>
    </r>
    <rPh sb="0" eb="2">
      <t>ガイヘキ</t>
    </rPh>
    <phoneticPr fontId="2"/>
  </si>
  <si>
    <r>
      <t xml:space="preserve">4）住宅 </t>
    </r>
    <r>
      <rPr>
        <b/>
        <sz val="11"/>
        <rFont val="HG丸ｺﾞｼｯｸM-PRO"/>
        <family val="3"/>
        <charset val="128"/>
      </rPr>
      <t>＜南西面＞</t>
    </r>
    <r>
      <rPr>
        <sz val="11"/>
        <rFont val="HG丸ｺﾞｼｯｸM-PRO"/>
        <family val="3"/>
        <charset val="128"/>
      </rPr>
      <t xml:space="preserve"> 計算結果</t>
    </r>
    <rPh sb="2" eb="4">
      <t>ジュウタク</t>
    </rPh>
    <rPh sb="8" eb="9">
      <t>メン</t>
    </rPh>
    <rPh sb="11" eb="13">
      <t>ケイサン</t>
    </rPh>
    <rPh sb="13" eb="15">
      <t>ケッカ</t>
    </rPh>
    <phoneticPr fontId="2"/>
  </si>
  <si>
    <r>
      <t xml:space="preserve">窓 </t>
    </r>
    <r>
      <rPr>
        <b/>
        <sz val="11"/>
        <rFont val="HG丸ｺﾞｼｯｸM-PRO"/>
        <family val="3"/>
        <charset val="128"/>
      </rPr>
      <t>＜西面＞</t>
    </r>
    <r>
      <rPr>
        <sz val="11"/>
        <rFont val="HG丸ｺﾞｼｯｸM-PRO"/>
        <family val="3"/>
        <charset val="128"/>
      </rPr>
      <t xml:space="preserve"> 各値合計</t>
    </r>
    <rPh sb="0" eb="1">
      <t>マド</t>
    </rPh>
    <rPh sb="4" eb="5">
      <t>メン</t>
    </rPh>
    <rPh sb="7" eb="8">
      <t>カク</t>
    </rPh>
    <rPh sb="8" eb="9">
      <t>アタイ</t>
    </rPh>
    <rPh sb="9" eb="11">
      <t>ゴウケイ</t>
    </rPh>
    <phoneticPr fontId="2"/>
  </si>
  <si>
    <r>
      <t xml:space="preserve">外壁 </t>
    </r>
    <r>
      <rPr>
        <b/>
        <sz val="11"/>
        <rFont val="HG丸ｺﾞｼｯｸM-PRO"/>
        <family val="3"/>
        <charset val="128"/>
      </rPr>
      <t>＜西面＞</t>
    </r>
    <r>
      <rPr>
        <sz val="11"/>
        <rFont val="HG丸ｺﾞｼｯｸM-PRO"/>
        <family val="3"/>
        <charset val="128"/>
      </rPr>
      <t xml:space="preserve"> 各値合計</t>
    </r>
    <rPh sb="0" eb="2">
      <t>ガイヘキ</t>
    </rPh>
    <phoneticPr fontId="2"/>
  </si>
  <si>
    <r>
      <t xml:space="preserve">4）住宅 </t>
    </r>
    <r>
      <rPr>
        <b/>
        <sz val="11"/>
        <rFont val="HG丸ｺﾞｼｯｸM-PRO"/>
        <family val="3"/>
        <charset val="128"/>
      </rPr>
      <t>＜西面＞</t>
    </r>
    <r>
      <rPr>
        <sz val="11"/>
        <rFont val="HG丸ｺﾞｼｯｸM-PRO"/>
        <family val="3"/>
        <charset val="128"/>
      </rPr>
      <t xml:space="preserve"> 計算結果</t>
    </r>
    <rPh sb="2" eb="4">
      <t>ジュウタク</t>
    </rPh>
    <rPh sb="7" eb="8">
      <t>メン</t>
    </rPh>
    <rPh sb="10" eb="12">
      <t>ケイサン</t>
    </rPh>
    <rPh sb="12" eb="14">
      <t>ケッカ</t>
    </rPh>
    <phoneticPr fontId="2"/>
  </si>
  <si>
    <r>
      <t xml:space="preserve">窓 </t>
    </r>
    <r>
      <rPr>
        <b/>
        <sz val="11"/>
        <rFont val="HG丸ｺﾞｼｯｸM-PRO"/>
        <family val="3"/>
        <charset val="128"/>
      </rPr>
      <t>＜北西面＞</t>
    </r>
    <r>
      <rPr>
        <sz val="11"/>
        <rFont val="HG丸ｺﾞｼｯｸM-PRO"/>
        <family val="3"/>
        <charset val="128"/>
      </rPr>
      <t xml:space="preserve"> 各値合計</t>
    </r>
    <rPh sb="0" eb="1">
      <t>マド</t>
    </rPh>
    <rPh sb="5" eb="6">
      <t>メン</t>
    </rPh>
    <rPh sb="8" eb="9">
      <t>カク</t>
    </rPh>
    <rPh sb="9" eb="10">
      <t>アタイ</t>
    </rPh>
    <rPh sb="10" eb="12">
      <t>ゴウケイ</t>
    </rPh>
    <phoneticPr fontId="2"/>
  </si>
  <si>
    <r>
      <t xml:space="preserve">外壁 </t>
    </r>
    <r>
      <rPr>
        <b/>
        <sz val="11"/>
        <rFont val="HG丸ｺﾞｼｯｸM-PRO"/>
        <family val="3"/>
        <charset val="128"/>
      </rPr>
      <t>＜北西面＞</t>
    </r>
    <r>
      <rPr>
        <sz val="11"/>
        <rFont val="HG丸ｺﾞｼｯｸM-PRO"/>
        <family val="3"/>
        <charset val="128"/>
      </rPr>
      <t xml:space="preserve"> 各値合計</t>
    </r>
    <rPh sb="0" eb="2">
      <t>ガイヘキ</t>
    </rPh>
    <phoneticPr fontId="2"/>
  </si>
  <si>
    <r>
      <t xml:space="preserve">4）住宅 </t>
    </r>
    <r>
      <rPr>
        <b/>
        <sz val="11"/>
        <rFont val="HG丸ｺﾞｼｯｸM-PRO"/>
        <family val="3"/>
        <charset val="128"/>
      </rPr>
      <t>＜北西面＞</t>
    </r>
    <r>
      <rPr>
        <sz val="11"/>
        <rFont val="HG丸ｺﾞｼｯｸM-PRO"/>
        <family val="3"/>
        <charset val="128"/>
      </rPr>
      <t xml:space="preserve"> 計算結果</t>
    </r>
    <rPh sb="2" eb="4">
      <t>ジュウタク</t>
    </rPh>
    <rPh sb="8" eb="9">
      <t>メン</t>
    </rPh>
    <rPh sb="11" eb="13">
      <t>ケイサン</t>
    </rPh>
    <rPh sb="13" eb="15">
      <t>ケッカ</t>
    </rPh>
    <phoneticPr fontId="2"/>
  </si>
  <si>
    <r>
      <t xml:space="preserve">外壁 </t>
    </r>
    <r>
      <rPr>
        <b/>
        <sz val="11"/>
        <rFont val="HG丸ｺﾞｼｯｸM-PRO"/>
        <family val="3"/>
        <charset val="128"/>
      </rPr>
      <t>＜屋根・天井・床＞</t>
    </r>
    <r>
      <rPr>
        <sz val="11"/>
        <rFont val="HG丸ｺﾞｼｯｸM-PRO"/>
        <family val="3"/>
        <charset val="128"/>
      </rPr>
      <t xml:space="preserve"> 各値合計</t>
    </r>
    <rPh sb="0" eb="2">
      <t>ガイヘキ</t>
    </rPh>
    <rPh sb="10" eb="11">
      <t>ユカ</t>
    </rPh>
    <phoneticPr fontId="2"/>
  </si>
  <si>
    <r>
      <t xml:space="preserve">窓 </t>
    </r>
    <r>
      <rPr>
        <b/>
        <sz val="11"/>
        <rFont val="HG丸ｺﾞｼｯｸM-PRO"/>
        <family val="3"/>
        <charset val="128"/>
      </rPr>
      <t>＜屋根・天井＞</t>
    </r>
    <r>
      <rPr>
        <sz val="11"/>
        <rFont val="HG丸ｺﾞｼｯｸM-PRO"/>
        <family val="3"/>
        <charset val="128"/>
      </rPr>
      <t xml:space="preserve"> 各値合計</t>
    </r>
    <rPh sb="0" eb="1">
      <t>マド</t>
    </rPh>
    <rPh sb="10" eb="11">
      <t>カク</t>
    </rPh>
    <rPh sb="11" eb="12">
      <t>アタイ</t>
    </rPh>
    <rPh sb="12" eb="14">
      <t>ゴウケイ</t>
    </rPh>
    <phoneticPr fontId="2"/>
  </si>
  <si>
    <t>温度差係数</t>
    <rPh sb="0" eb="3">
      <t>オンドサ</t>
    </rPh>
    <rPh sb="3" eb="5">
      <t>ケイスウ</t>
    </rPh>
    <phoneticPr fontId="2"/>
  </si>
  <si>
    <t>方位係数</t>
    <rPh sb="0" eb="2">
      <t>ホウイ</t>
    </rPh>
    <rPh sb="2" eb="4">
      <t>ケイスウ</t>
    </rPh>
    <phoneticPr fontId="2"/>
  </si>
  <si>
    <r>
      <t xml:space="preserve">ドア </t>
    </r>
    <r>
      <rPr>
        <b/>
        <sz val="11"/>
        <rFont val="HG丸ｺﾞｼｯｸM-PRO"/>
        <family val="3"/>
        <charset val="128"/>
      </rPr>
      <t>＜北面＞</t>
    </r>
    <r>
      <rPr>
        <sz val="11"/>
        <rFont val="HG丸ｺﾞｼｯｸM-PRO"/>
        <family val="3"/>
        <charset val="128"/>
      </rPr>
      <t xml:space="preserve"> 各値合計</t>
    </r>
    <rPh sb="4" eb="5">
      <t>キタ</t>
    </rPh>
    <phoneticPr fontId="2"/>
  </si>
  <si>
    <r>
      <t xml:space="preserve">ドア </t>
    </r>
    <r>
      <rPr>
        <b/>
        <sz val="11"/>
        <rFont val="HG丸ｺﾞｼｯｸM-PRO"/>
        <family val="3"/>
        <charset val="128"/>
      </rPr>
      <t>＜北東面＞</t>
    </r>
    <r>
      <rPr>
        <sz val="11"/>
        <rFont val="HG丸ｺﾞｼｯｸM-PRO"/>
        <family val="3"/>
        <charset val="128"/>
      </rPr>
      <t xml:space="preserve"> 各値合計</t>
    </r>
    <phoneticPr fontId="2"/>
  </si>
  <si>
    <r>
      <t xml:space="preserve">ドア </t>
    </r>
    <r>
      <rPr>
        <b/>
        <sz val="11"/>
        <rFont val="HG丸ｺﾞｼｯｸM-PRO"/>
        <family val="3"/>
        <charset val="128"/>
      </rPr>
      <t>＜東面＞</t>
    </r>
    <r>
      <rPr>
        <sz val="11"/>
        <rFont val="HG丸ｺﾞｼｯｸM-PRO"/>
        <family val="3"/>
        <charset val="128"/>
      </rPr>
      <t xml:space="preserve"> 各値合計</t>
    </r>
    <phoneticPr fontId="2"/>
  </si>
  <si>
    <r>
      <t xml:space="preserve">ドア </t>
    </r>
    <r>
      <rPr>
        <b/>
        <sz val="11"/>
        <rFont val="HG丸ｺﾞｼｯｸM-PRO"/>
        <family val="3"/>
        <charset val="128"/>
      </rPr>
      <t>＜南東面＞</t>
    </r>
    <r>
      <rPr>
        <sz val="11"/>
        <rFont val="HG丸ｺﾞｼｯｸM-PRO"/>
        <family val="3"/>
        <charset val="128"/>
      </rPr>
      <t xml:space="preserve"> 各値合計</t>
    </r>
    <phoneticPr fontId="2"/>
  </si>
  <si>
    <r>
      <t xml:space="preserve">ドア </t>
    </r>
    <r>
      <rPr>
        <b/>
        <sz val="11"/>
        <rFont val="HG丸ｺﾞｼｯｸM-PRO"/>
        <family val="3"/>
        <charset val="128"/>
      </rPr>
      <t>＜南面＞</t>
    </r>
    <r>
      <rPr>
        <sz val="11"/>
        <rFont val="HG丸ｺﾞｼｯｸM-PRO"/>
        <family val="3"/>
        <charset val="128"/>
      </rPr>
      <t xml:space="preserve"> 各値合計</t>
    </r>
    <phoneticPr fontId="2"/>
  </si>
  <si>
    <r>
      <t xml:space="preserve">ドア </t>
    </r>
    <r>
      <rPr>
        <b/>
        <sz val="11"/>
        <rFont val="HG丸ｺﾞｼｯｸM-PRO"/>
        <family val="3"/>
        <charset val="128"/>
      </rPr>
      <t>＜南西面＞</t>
    </r>
    <r>
      <rPr>
        <sz val="11"/>
        <rFont val="HG丸ｺﾞｼｯｸM-PRO"/>
        <family val="3"/>
        <charset val="128"/>
      </rPr>
      <t xml:space="preserve"> 各値合計</t>
    </r>
    <phoneticPr fontId="2"/>
  </si>
  <si>
    <r>
      <t xml:space="preserve">ドア </t>
    </r>
    <r>
      <rPr>
        <b/>
        <sz val="11"/>
        <rFont val="HG丸ｺﾞｼｯｸM-PRO"/>
        <family val="3"/>
        <charset val="128"/>
      </rPr>
      <t>＜西面＞</t>
    </r>
    <r>
      <rPr>
        <sz val="11"/>
        <rFont val="HG丸ｺﾞｼｯｸM-PRO"/>
        <family val="3"/>
        <charset val="128"/>
      </rPr>
      <t xml:space="preserve"> 各値合計</t>
    </r>
    <phoneticPr fontId="2"/>
  </si>
  <si>
    <r>
      <t xml:space="preserve">ドア </t>
    </r>
    <r>
      <rPr>
        <b/>
        <sz val="11"/>
        <rFont val="HG丸ｺﾞｼｯｸM-PRO"/>
        <family val="3"/>
        <charset val="128"/>
      </rPr>
      <t>＜北西面＞</t>
    </r>
    <r>
      <rPr>
        <sz val="11"/>
        <rFont val="HG丸ｺﾞｼｯｸM-PRO"/>
        <family val="3"/>
        <charset val="128"/>
      </rPr>
      <t xml:space="preserve"> 各値合計</t>
    </r>
    <phoneticPr fontId="2"/>
  </si>
  <si>
    <t>日射の当たらない
基礎等</t>
    <rPh sb="0" eb="2">
      <t>ニッシャ</t>
    </rPh>
    <rPh sb="3" eb="4">
      <t>ア</t>
    </rPh>
    <rPh sb="9" eb="11">
      <t>キソ</t>
    </rPh>
    <rPh sb="11" eb="12">
      <t>トウ</t>
    </rPh>
    <phoneticPr fontId="2"/>
  </si>
  <si>
    <t>等級４</t>
    <rPh sb="0" eb="2">
      <t>トウキュウ</t>
    </rPh>
    <phoneticPr fontId="2"/>
  </si>
  <si>
    <t>等級３</t>
    <rPh sb="0" eb="2">
      <t>トウキュウ</t>
    </rPh>
    <phoneticPr fontId="2"/>
  </si>
  <si>
    <t>等級２</t>
    <rPh sb="0" eb="2">
      <t>トウキュウ</t>
    </rPh>
    <phoneticPr fontId="2"/>
  </si>
  <si>
    <t>ＵA</t>
    <phoneticPr fontId="2"/>
  </si>
  <si>
    <t>ηA</t>
    <phoneticPr fontId="2"/>
  </si>
  <si>
    <t>-</t>
    <phoneticPr fontId="2"/>
  </si>
  <si>
    <t>等級４</t>
    <phoneticPr fontId="2"/>
  </si>
  <si>
    <t>等級３</t>
    <phoneticPr fontId="2"/>
  </si>
  <si>
    <t>等級２</t>
    <phoneticPr fontId="2"/>
  </si>
  <si>
    <t>1）土間床等の面積の入力</t>
    <rPh sb="2" eb="4">
      <t>ドマ</t>
    </rPh>
    <rPh sb="4" eb="5">
      <t>ユカ</t>
    </rPh>
    <rPh sb="5" eb="6">
      <t>トウ</t>
    </rPh>
    <rPh sb="7" eb="9">
      <t>メンセキ</t>
    </rPh>
    <rPh sb="10" eb="12">
      <t>ニュウリョク</t>
    </rPh>
    <phoneticPr fontId="2"/>
  </si>
  <si>
    <t>※3）において温度差係数を分けて計算する場合、</t>
    <rPh sb="13" eb="14">
      <t>ワ</t>
    </rPh>
    <rPh sb="16" eb="18">
      <t>ケイサン</t>
    </rPh>
    <phoneticPr fontId="2"/>
  </si>
  <si>
    <t>2）基礎等の断面仕様の入力</t>
    <rPh sb="2" eb="5">
      <t>キソトウ</t>
    </rPh>
    <rPh sb="6" eb="8">
      <t>ダンメン</t>
    </rPh>
    <rPh sb="8" eb="10">
      <t>シヨウ</t>
    </rPh>
    <rPh sb="11" eb="13">
      <t>ニュウリョク</t>
    </rPh>
    <phoneticPr fontId="2"/>
  </si>
  <si>
    <t>3）基礎等の外周長さの入力</t>
    <rPh sb="2" eb="5">
      <t>キソトウ</t>
    </rPh>
    <rPh sb="6" eb="8">
      <t>ガイシュウ</t>
    </rPh>
    <rPh sb="8" eb="9">
      <t>ナガ</t>
    </rPh>
    <rPh sb="11" eb="13">
      <t>ニュウリョク</t>
    </rPh>
    <phoneticPr fontId="2"/>
  </si>
  <si>
    <r>
      <t xml:space="preserve">3）住宅 </t>
    </r>
    <r>
      <rPr>
        <b/>
        <sz val="11"/>
        <rFont val="HG丸ｺﾞｼｯｸM-PRO"/>
        <family val="3"/>
        <charset val="128"/>
      </rPr>
      <t>＜屋根・天井・床等＞</t>
    </r>
    <r>
      <rPr>
        <sz val="11"/>
        <rFont val="HG丸ｺﾞｼｯｸM-PRO"/>
        <family val="3"/>
        <charset val="128"/>
      </rPr>
      <t xml:space="preserve"> 計算結果</t>
    </r>
    <rPh sb="2" eb="4">
      <t>ジュウタク</t>
    </rPh>
    <rPh sb="12" eb="13">
      <t>ユカ</t>
    </rPh>
    <rPh sb="13" eb="14">
      <t>トウ</t>
    </rPh>
    <rPh sb="16" eb="18">
      <t>ケイサン</t>
    </rPh>
    <rPh sb="18" eb="20">
      <t>ケッカ</t>
    </rPh>
    <phoneticPr fontId="2"/>
  </si>
  <si>
    <t>㎡（</t>
    <phoneticPr fontId="2"/>
  </si>
  <si>
    <t>㎡、</t>
    <phoneticPr fontId="2"/>
  </si>
  <si>
    <t>屋根等</t>
    <phoneticPr fontId="2"/>
  </si>
  <si>
    <t>㎡）</t>
    <phoneticPr fontId="2"/>
  </si>
  <si>
    <t>W/K</t>
    <phoneticPr fontId="2"/>
  </si>
  <si>
    <t>除外窓
等面積</t>
    <rPh sb="0" eb="2">
      <t>ジョガイ</t>
    </rPh>
    <rPh sb="2" eb="3">
      <t>マド</t>
    </rPh>
    <rPh sb="4" eb="5">
      <t>トウ</t>
    </rPh>
    <rPh sb="5" eb="7">
      <t>メンセキ</t>
    </rPh>
    <phoneticPr fontId="2"/>
  </si>
  <si>
    <t>mc</t>
    <phoneticPr fontId="2"/>
  </si>
  <si>
    <t>mh</t>
    <phoneticPr fontId="2"/>
  </si>
  <si>
    <t>端数処理無し</t>
    <rPh sb="0" eb="2">
      <t>ハスウ</t>
    </rPh>
    <rPh sb="2" eb="4">
      <t>ショリ</t>
    </rPh>
    <rPh sb="4" eb="5">
      <t>ナ</t>
    </rPh>
    <phoneticPr fontId="2"/>
  </si>
  <si>
    <t>　外皮等面積の合計</t>
    <phoneticPr fontId="2"/>
  </si>
  <si>
    <r>
      <t>　外皮平均熱貫流率(U</t>
    </r>
    <r>
      <rPr>
        <vertAlign val="subscript"/>
        <sz val="10"/>
        <rFont val="ＭＳ Ｐゴシック"/>
        <family val="3"/>
        <charset val="128"/>
      </rPr>
      <t>A</t>
    </r>
    <r>
      <rPr>
        <sz val="10"/>
        <rFont val="ＭＳ Ｐゴシック"/>
        <family val="3"/>
        <charset val="128"/>
      </rPr>
      <t>)</t>
    </r>
    <rPh sb="1" eb="3">
      <t>ガイヒ</t>
    </rPh>
    <rPh sb="3" eb="5">
      <t>ヘイキン</t>
    </rPh>
    <rPh sb="5" eb="6">
      <t>ネツ</t>
    </rPh>
    <rPh sb="6" eb="8">
      <t>カンリュウ</t>
    </rPh>
    <rPh sb="8" eb="9">
      <t>リツ</t>
    </rPh>
    <phoneticPr fontId="2"/>
  </si>
  <si>
    <t>W/（㎡K）</t>
    <phoneticPr fontId="2"/>
  </si>
  <si>
    <r>
      <t>　冷房期の平均日射熱取得率(η</t>
    </r>
    <r>
      <rPr>
        <vertAlign val="subscript"/>
        <sz val="10"/>
        <rFont val="ＭＳ Ｐゴシック"/>
        <family val="3"/>
        <charset val="128"/>
      </rPr>
      <t>AC</t>
    </r>
    <r>
      <rPr>
        <sz val="10"/>
        <rFont val="ＭＳ Ｐゴシック"/>
        <family val="3"/>
        <charset val="128"/>
      </rPr>
      <t>)</t>
    </r>
    <phoneticPr fontId="2"/>
  </si>
  <si>
    <r>
      <t>　暖房期の平均日射熱取得率(η</t>
    </r>
    <r>
      <rPr>
        <vertAlign val="subscript"/>
        <sz val="10"/>
        <rFont val="ＭＳ Ｐゴシック"/>
        <family val="3"/>
        <charset val="128"/>
      </rPr>
      <t>AH</t>
    </r>
    <r>
      <rPr>
        <sz val="10"/>
        <rFont val="ＭＳ Ｐゴシック"/>
        <family val="3"/>
        <charset val="128"/>
      </rPr>
      <t>)</t>
    </r>
    <rPh sb="1" eb="3">
      <t>ダンボウ</t>
    </rPh>
    <phoneticPr fontId="2"/>
  </si>
  <si>
    <t>　冷房期の平均日射熱取得率</t>
    <rPh sb="3" eb="4">
      <t>キ</t>
    </rPh>
    <phoneticPr fontId="2"/>
  </si>
  <si>
    <t>‐H28年省エネルギー基準に基づく（木造戸建て住宅）‐</t>
    <rPh sb="4" eb="5">
      <t>ネン</t>
    </rPh>
    <rPh sb="5" eb="6">
      <t>ショウ</t>
    </rPh>
    <rPh sb="11" eb="13">
      <t>キジュン</t>
    </rPh>
    <rPh sb="14" eb="15">
      <t>モト</t>
    </rPh>
    <rPh sb="18" eb="20">
      <t>モクゾウ</t>
    </rPh>
    <rPh sb="20" eb="22">
      <t>コダ</t>
    </rPh>
    <rPh sb="23" eb="25">
      <t>ジュウタク</t>
    </rPh>
    <phoneticPr fontId="2"/>
  </si>
  <si>
    <t xml:space="preserve">住宅の外皮平均熱貫流率及び平均日射熱取得率（冷房期・暖房期）計算書 </t>
    <rPh sb="0" eb="2">
      <t>ジュウタク</t>
    </rPh>
    <rPh sb="5" eb="7">
      <t>ヘイキン</t>
    </rPh>
    <rPh sb="8" eb="10">
      <t>カンリュウ</t>
    </rPh>
    <rPh sb="10" eb="11">
      <t>リツ</t>
    </rPh>
    <rPh sb="11" eb="12">
      <t>オヨ</t>
    </rPh>
    <rPh sb="13" eb="15">
      <t>ヘイキン</t>
    </rPh>
    <rPh sb="15" eb="17">
      <t>ニッシャ</t>
    </rPh>
    <rPh sb="17" eb="18">
      <t>ネツ</t>
    </rPh>
    <rPh sb="18" eb="20">
      <t>シュトク</t>
    </rPh>
    <rPh sb="20" eb="21">
      <t>リツ</t>
    </rPh>
    <rPh sb="22" eb="24">
      <t>レイボウ</t>
    </rPh>
    <rPh sb="24" eb="25">
      <t>キ</t>
    </rPh>
    <rPh sb="26" eb="28">
      <t>ダンボウ</t>
    </rPh>
    <rPh sb="28" eb="29">
      <t>キ</t>
    </rPh>
    <rPh sb="30" eb="33">
      <t>ケイサンショ</t>
    </rPh>
    <phoneticPr fontId="2"/>
  </si>
  <si>
    <t>外皮熱損失量</t>
    <rPh sb="0" eb="2">
      <t>ガイヒ</t>
    </rPh>
    <rPh sb="2" eb="3">
      <t>ネツ</t>
    </rPh>
    <rPh sb="3" eb="5">
      <t>ソンシツ</t>
    </rPh>
    <rPh sb="5" eb="6">
      <t>リョウ</t>
    </rPh>
    <phoneticPr fontId="2"/>
  </si>
  <si>
    <t>１地域</t>
    <rPh sb="1" eb="3">
      <t>チイキ</t>
    </rPh>
    <phoneticPr fontId="2"/>
  </si>
  <si>
    <t>２地域</t>
    <rPh sb="1" eb="3">
      <t>チイキ</t>
    </rPh>
    <phoneticPr fontId="2"/>
  </si>
  <si>
    <t>３地域</t>
    <rPh sb="1" eb="3">
      <t>チイキ</t>
    </rPh>
    <phoneticPr fontId="2"/>
  </si>
  <si>
    <t>４地域</t>
    <rPh sb="1" eb="3">
      <t>チイキ</t>
    </rPh>
    <phoneticPr fontId="2"/>
  </si>
  <si>
    <t>５地域</t>
    <rPh sb="1" eb="3">
      <t>チイキ</t>
    </rPh>
    <phoneticPr fontId="2"/>
  </si>
  <si>
    <t>６地域</t>
    <rPh sb="1" eb="3">
      <t>チイキ</t>
    </rPh>
    <phoneticPr fontId="2"/>
  </si>
  <si>
    <t>７地域</t>
    <rPh sb="1" eb="3">
      <t>チイキ</t>
    </rPh>
    <phoneticPr fontId="2"/>
  </si>
  <si>
    <t>８地域</t>
    <rPh sb="1" eb="3">
      <t>チイキ</t>
    </rPh>
    <phoneticPr fontId="2"/>
  </si>
  <si>
    <t>　外皮平均熱貫流率</t>
    <phoneticPr fontId="2"/>
  </si>
  <si>
    <t>　※1　建具の仕様、ガラスの仕様および付属部材の組み合わせに応じた日射熱取得率を直接入力して下さい。</t>
    <rPh sb="4" eb="6">
      <t>タテグ</t>
    </rPh>
    <rPh sb="7" eb="9">
      <t>シヨウ</t>
    </rPh>
    <rPh sb="14" eb="16">
      <t>シヨウ</t>
    </rPh>
    <rPh sb="24" eb="25">
      <t>ク</t>
    </rPh>
    <rPh sb="26" eb="27">
      <t>ア</t>
    </rPh>
    <rPh sb="38" eb="39">
      <t>リツ</t>
    </rPh>
    <phoneticPr fontId="2"/>
  </si>
  <si>
    <t>日射熱
取得率
※1</t>
    <rPh sb="0" eb="2">
      <t>ニッシャ</t>
    </rPh>
    <rPh sb="2" eb="3">
      <t>ネツ</t>
    </rPh>
    <rPh sb="4" eb="6">
      <t>シュトク</t>
    </rPh>
    <phoneticPr fontId="2"/>
  </si>
  <si>
    <t>（１３）</t>
    <phoneticPr fontId="2"/>
  </si>
  <si>
    <t>共通条件・結果シート：２）外皮等面積の合計の関数式訂正（切り下げ→四捨五入に修正）</t>
    <phoneticPr fontId="2"/>
  </si>
  <si>
    <t>シートA（全8方位）：２）および３）合計欄のバグ修正（数値が表示されない）</t>
    <rPh sb="5" eb="6">
      <t>ゼン</t>
    </rPh>
    <rPh sb="7" eb="9">
      <t>ホウイ</t>
    </rPh>
    <rPh sb="18" eb="20">
      <t>ゴウケイ</t>
    </rPh>
    <rPh sb="20" eb="21">
      <t>ラン</t>
    </rPh>
    <rPh sb="24" eb="26">
      <t>シュウセイ</t>
    </rPh>
    <rPh sb="27" eb="29">
      <t>スウチ</t>
    </rPh>
    <rPh sb="30" eb="32">
      <t>ヒョウジ</t>
    </rPh>
    <phoneticPr fontId="2"/>
  </si>
  <si>
    <t xml:space="preserve">
はじめに（お読みください）
</t>
    <rPh sb="7" eb="8">
      <t>ヨ</t>
    </rPh>
    <phoneticPr fontId="2"/>
  </si>
  <si>
    <t xml:space="preserve">
１)
</t>
    <phoneticPr fontId="2"/>
  </si>
  <si>
    <t xml:space="preserve">　
　本エクセル計算シートの著作権は、一般社団法人住宅性能評価・表示協会に帰属します。
</t>
    <phoneticPr fontId="2"/>
  </si>
  <si>
    <t xml:space="preserve">
２)</t>
    <phoneticPr fontId="2"/>
  </si>
  <si>
    <t xml:space="preserve">
３)</t>
    <phoneticPr fontId="2"/>
  </si>
  <si>
    <t xml:space="preserve">
　本エクセル計算シートは、当協会の会員及び設計者へのサービスの一環として、無料で公開するものです。利用者は、利用者自身の自己責任において、本エクセル計算シートを利用してください。
　当協会は、事由のいかんを問わず、本エクセルシートの使用によって発生した（代用品または代用サービスの調達、使用の損失、データの損失、利益の損失、業務の中断も含め、またはそれに限定されない）直接損害、間接損害、偶発的な損害、特別損害、懲罰的損害、または結果損害について、一切の責任を負わないものとします。
</t>
    <phoneticPr fontId="2"/>
  </si>
  <si>
    <t>シート「はじめに（お読みください）」を追加</t>
    <rPh sb="19" eb="21">
      <t>ツイカ</t>
    </rPh>
    <phoneticPr fontId="2"/>
  </si>
  <si>
    <t>パスワードを設定</t>
    <rPh sb="6" eb="8">
      <t>セッテイ</t>
    </rPh>
    <phoneticPr fontId="2"/>
  </si>
  <si>
    <t xml:space="preserve">
４）</t>
    <phoneticPr fontId="2"/>
  </si>
  <si>
    <t>シート「はじめに（お読みください）」に４）を追加</t>
    <rPh sb="22" eb="24">
      <t>ツイカ</t>
    </rPh>
    <phoneticPr fontId="2"/>
  </si>
  <si>
    <t>（１１）</t>
    <phoneticPr fontId="2"/>
  </si>
  <si>
    <t>（１３）１</t>
    <phoneticPr fontId="2"/>
  </si>
  <si>
    <t>（１３）２</t>
    <phoneticPr fontId="2"/>
  </si>
  <si>
    <t>シート「Ｃ（基礎）」基礎の線熱貫流率計算式番号の修正</t>
    <rPh sb="6" eb="8">
      <t>キソ</t>
    </rPh>
    <rPh sb="10" eb="12">
      <t>キソ</t>
    </rPh>
    <rPh sb="13" eb="14">
      <t>セン</t>
    </rPh>
    <rPh sb="14" eb="15">
      <t>ネツ</t>
    </rPh>
    <rPh sb="15" eb="17">
      <t>カンリュウ</t>
    </rPh>
    <rPh sb="17" eb="18">
      <t>リツ</t>
    </rPh>
    <rPh sb="18" eb="20">
      <t>ケイサン</t>
    </rPh>
    <rPh sb="20" eb="21">
      <t>シキ</t>
    </rPh>
    <rPh sb="21" eb="23">
      <t>バンゴウ</t>
    </rPh>
    <rPh sb="24" eb="26">
      <t>シュウセイ</t>
    </rPh>
    <phoneticPr fontId="2"/>
  </si>
  <si>
    <t>ver1.5</t>
    <phoneticPr fontId="2"/>
  </si>
  <si>
    <t>ver1.4</t>
    <phoneticPr fontId="2"/>
  </si>
  <si>
    <t>ver1.3</t>
    <phoneticPr fontId="2"/>
  </si>
  <si>
    <t>ver1.2</t>
    <phoneticPr fontId="2"/>
  </si>
  <si>
    <t>シート「内訳計算シートA」：1）、2）、3）の行を追加</t>
    <rPh sb="4" eb="6">
      <t>ウチワケ</t>
    </rPh>
    <rPh sb="6" eb="8">
      <t>ケイサン</t>
    </rPh>
    <rPh sb="23" eb="24">
      <t>ギョウ</t>
    </rPh>
    <rPh sb="25" eb="27">
      <t>ツイカ</t>
    </rPh>
    <phoneticPr fontId="2"/>
  </si>
  <si>
    <t>シート「内訳計算シートA」：8地域の場合の暖房期日射熱取得率の表示を修正</t>
    <rPh sb="4" eb="6">
      <t>ウチワケ</t>
    </rPh>
    <rPh sb="6" eb="8">
      <t>ケイサン</t>
    </rPh>
    <rPh sb="15" eb="17">
      <t>チイキ</t>
    </rPh>
    <rPh sb="18" eb="20">
      <t>バアイ</t>
    </rPh>
    <rPh sb="21" eb="24">
      <t>ダンボウキ</t>
    </rPh>
    <rPh sb="24" eb="26">
      <t>ニッシャ</t>
    </rPh>
    <rPh sb="26" eb="27">
      <t>ネツ</t>
    </rPh>
    <rPh sb="27" eb="30">
      <t>シュトクリツ</t>
    </rPh>
    <rPh sb="31" eb="33">
      <t>ヒョウジ</t>
    </rPh>
    <rPh sb="34" eb="36">
      <t>シュウセイ</t>
    </rPh>
    <phoneticPr fontId="2"/>
  </si>
  <si>
    <t>シート「共通条件・結果」：「住宅の名称」、「住宅の所在地」の書式を変更</t>
    <rPh sb="4" eb="6">
      <t>キョウツウ</t>
    </rPh>
    <rPh sb="6" eb="8">
      <t>ジョウケン</t>
    </rPh>
    <rPh sb="9" eb="11">
      <t>ケッカ</t>
    </rPh>
    <rPh sb="14" eb="16">
      <t>ジュウタク</t>
    </rPh>
    <rPh sb="17" eb="19">
      <t>メイショウ</t>
    </rPh>
    <rPh sb="22" eb="24">
      <t>ジュウタク</t>
    </rPh>
    <rPh sb="25" eb="28">
      <t>ショザイチ</t>
    </rPh>
    <rPh sb="30" eb="32">
      <t>ショシキ</t>
    </rPh>
    <rPh sb="33" eb="35">
      <t>ヘンコウ</t>
    </rPh>
    <phoneticPr fontId="2"/>
  </si>
  <si>
    <t>シート「参考（部位U計算）」：記載欄の書式変更</t>
    <rPh sb="4" eb="6">
      <t>サンコウ</t>
    </rPh>
    <rPh sb="7" eb="9">
      <t>ブイ</t>
    </rPh>
    <rPh sb="10" eb="12">
      <t>ケイサン</t>
    </rPh>
    <rPh sb="15" eb="17">
      <t>キサイ</t>
    </rPh>
    <rPh sb="17" eb="18">
      <t>ラン</t>
    </rPh>
    <rPh sb="19" eb="21">
      <t>ショシキ</t>
    </rPh>
    <rPh sb="21" eb="23">
      <t>ヘンコウ</t>
    </rPh>
    <phoneticPr fontId="2"/>
  </si>
  <si>
    <t>シート「参考（部位U計算）」：行を追加</t>
    <rPh sb="4" eb="6">
      <t>サンコウ</t>
    </rPh>
    <rPh sb="7" eb="9">
      <t>ブイ</t>
    </rPh>
    <rPh sb="10" eb="12">
      <t>ケイサン</t>
    </rPh>
    <rPh sb="15" eb="16">
      <t>ギョウ</t>
    </rPh>
    <rPh sb="17" eb="19">
      <t>ツイカ</t>
    </rPh>
    <phoneticPr fontId="2"/>
  </si>
  <si>
    <t>シート「参考（部位U計算）」：ページを追加</t>
    <rPh sb="4" eb="6">
      <t>サンコウ</t>
    </rPh>
    <rPh sb="7" eb="9">
      <t>ブイ</t>
    </rPh>
    <rPh sb="10" eb="12">
      <t>ケイサン</t>
    </rPh>
    <rPh sb="19" eb="21">
      <t>ツイカ</t>
    </rPh>
    <phoneticPr fontId="2"/>
  </si>
  <si>
    <t>シート「参考（部位U計算）」：パスワードを解除</t>
    <rPh sb="4" eb="6">
      <t>サンコウ</t>
    </rPh>
    <rPh sb="7" eb="9">
      <t>ブイ</t>
    </rPh>
    <rPh sb="10" eb="12">
      <t>ケイサン</t>
    </rPh>
    <rPh sb="21" eb="23">
      <t>カイジョ</t>
    </rPh>
    <phoneticPr fontId="2"/>
  </si>
  <si>
    <t>本バージョン Ver.1.7</t>
    <rPh sb="0" eb="1">
      <t>ホン</t>
    </rPh>
    <phoneticPr fontId="2"/>
  </si>
  <si>
    <t>シート「参考（部位U計算）」：本Excelから削除とし、部位U計算シート単独の公開とした。</t>
    <rPh sb="4" eb="6">
      <t>サンコウ</t>
    </rPh>
    <rPh sb="7" eb="9">
      <t>ブイ</t>
    </rPh>
    <rPh sb="10" eb="12">
      <t>ケイサン</t>
    </rPh>
    <rPh sb="15" eb="16">
      <t>ホン</t>
    </rPh>
    <rPh sb="23" eb="25">
      <t>サクジョ</t>
    </rPh>
    <rPh sb="28" eb="30">
      <t>ブイ</t>
    </rPh>
    <rPh sb="31" eb="33">
      <t>ケイサン</t>
    </rPh>
    <rPh sb="36" eb="38">
      <t>タンドク</t>
    </rPh>
    <rPh sb="39" eb="41">
      <t>コウカイ</t>
    </rPh>
    <phoneticPr fontId="2"/>
  </si>
  <si>
    <t>Ver.1.6</t>
    <phoneticPr fontId="2"/>
  </si>
  <si>
    <t>　注１：本計算シートの計算方法は、（国研）建築研究所が示す外皮性能の計算方法を遵守しています。</t>
    <rPh sb="1" eb="2">
      <t>チュウ</t>
    </rPh>
    <rPh sb="4" eb="5">
      <t>ホン</t>
    </rPh>
    <rPh sb="5" eb="7">
      <t>ケイサン</t>
    </rPh>
    <rPh sb="11" eb="13">
      <t>ケイサン</t>
    </rPh>
    <rPh sb="13" eb="15">
      <t>ホウホウ</t>
    </rPh>
    <rPh sb="18" eb="19">
      <t>クニ</t>
    </rPh>
    <rPh sb="19" eb="20">
      <t>ケン</t>
    </rPh>
    <rPh sb="21" eb="23">
      <t>ケンチク</t>
    </rPh>
    <rPh sb="23" eb="26">
      <t>ケンキュウジョ</t>
    </rPh>
    <rPh sb="27" eb="28">
      <t>シメ</t>
    </rPh>
    <rPh sb="29" eb="31">
      <t>ガイヒ</t>
    </rPh>
    <rPh sb="31" eb="33">
      <t>セイノウ</t>
    </rPh>
    <rPh sb="34" eb="36">
      <t>ケイサン</t>
    </rPh>
    <rPh sb="36" eb="38">
      <t>ホウホウ</t>
    </rPh>
    <rPh sb="39" eb="41">
      <t>ジュンシュ</t>
    </rPh>
    <phoneticPr fontId="2"/>
  </si>
  <si>
    <t>　注２：内訳計算シートＡは、住宅の外壁の面する方位別のシートに入力してください。</t>
    <rPh sb="1" eb="2">
      <t>チュウ</t>
    </rPh>
    <rPh sb="4" eb="6">
      <t>ウチワケ</t>
    </rPh>
    <rPh sb="6" eb="8">
      <t>ケイサン</t>
    </rPh>
    <rPh sb="14" eb="16">
      <t>ジュウタク</t>
    </rPh>
    <rPh sb="17" eb="19">
      <t>ガイヘキ</t>
    </rPh>
    <rPh sb="20" eb="21">
      <t>メン</t>
    </rPh>
    <rPh sb="23" eb="25">
      <t>ホウイ</t>
    </rPh>
    <rPh sb="25" eb="26">
      <t>ベツ</t>
    </rPh>
    <rPh sb="31" eb="33">
      <t>ニュウリョク</t>
    </rPh>
    <phoneticPr fontId="2"/>
  </si>
  <si>
    <t>　注３：各シートの</t>
    <rPh sb="1" eb="2">
      <t>チュウ</t>
    </rPh>
    <rPh sb="4" eb="5">
      <t>カク</t>
    </rPh>
    <phoneticPr fontId="2"/>
  </si>
  <si>
    <t>　注４：各シートに入力する寸法は、メートル単位で入力して下さい。</t>
    <rPh sb="1" eb="2">
      <t>チュウ</t>
    </rPh>
    <rPh sb="4" eb="5">
      <t>カク</t>
    </rPh>
    <rPh sb="9" eb="11">
      <t>ニュウリョク</t>
    </rPh>
    <rPh sb="13" eb="15">
      <t>スンポウ</t>
    </rPh>
    <rPh sb="21" eb="23">
      <t>タンイ</t>
    </rPh>
    <rPh sb="24" eb="26">
      <t>ニュウリョク</t>
    </rPh>
    <rPh sb="28" eb="29">
      <t>クダ</t>
    </rPh>
    <phoneticPr fontId="2"/>
  </si>
  <si>
    <t>　注５：本計算シートでは計算式の誤削除を防止するため、シートを保護しています。</t>
    <rPh sb="1" eb="2">
      <t>チュウ</t>
    </rPh>
    <rPh sb="4" eb="5">
      <t>ホン</t>
    </rPh>
    <rPh sb="5" eb="7">
      <t>ケイサン</t>
    </rPh>
    <rPh sb="12" eb="14">
      <t>ケイサン</t>
    </rPh>
    <rPh sb="14" eb="15">
      <t>シキ</t>
    </rPh>
    <rPh sb="16" eb="17">
      <t>ゴ</t>
    </rPh>
    <rPh sb="17" eb="19">
      <t>サクジョ</t>
    </rPh>
    <rPh sb="20" eb="22">
      <t>ボウシ</t>
    </rPh>
    <rPh sb="31" eb="33">
      <t>ホゴ</t>
    </rPh>
    <phoneticPr fontId="2"/>
  </si>
  <si>
    <t xml:space="preserve">
　本エクセル計算シートの計算方法は、国立研究開発法人建築研究所のホームページで公開されている「建築物のエネルギー消費性能に関する技術情報」の「平成28年省エネルギー基準に準拠したエネルギー消費性能の評価に関する技術情報（住宅）」(http://www.kenken.go.jp/becc/house.html)に示される第三章第二節「外皮性能」（以下、「建築研究所公開資料」という。）に基づき、当協会が作成したものです。
　万一、技術情報と本エクセル計算シートの内容に齟齬がある場合は、建築研究所公開資料で定める内容が優先されます。
</t>
    <phoneticPr fontId="2"/>
  </si>
  <si>
    <t xml:space="preserve">　
本エクセル計算シートは、バージョンによっては開く又は保存すると、一部の機能が失われるか、正常に実行されなくなる可能性があります。
</t>
    <rPh sb="2" eb="3">
      <t>ホン</t>
    </rPh>
    <rPh sb="7" eb="9">
      <t>ケイサン</t>
    </rPh>
    <rPh sb="24" eb="25">
      <t>ヒラ</t>
    </rPh>
    <rPh sb="26" eb="27">
      <t>マタ</t>
    </rPh>
    <rPh sb="28" eb="30">
      <t>ホゾン</t>
    </rPh>
    <rPh sb="34" eb="36">
      <t>イチブ</t>
    </rPh>
    <rPh sb="37" eb="39">
      <t>キノウ</t>
    </rPh>
    <rPh sb="40" eb="41">
      <t>ウシナ</t>
    </rPh>
    <rPh sb="46" eb="48">
      <t>セイジョウ</t>
    </rPh>
    <rPh sb="49" eb="51">
      <t>ジッコウ</t>
    </rPh>
    <rPh sb="57" eb="60">
      <t>カノウセイ</t>
    </rPh>
    <phoneticPr fontId="2"/>
  </si>
  <si>
    <t>５）</t>
    <phoneticPr fontId="2"/>
  </si>
  <si>
    <t>部位U値計算シートは本ファイルに添付されていません。別途ご用意ください。</t>
    <phoneticPr fontId="2"/>
  </si>
  <si>
    <t>６地域</t>
  </si>
  <si>
    <t>面積比率　・　熱伝達抵抗</t>
    <rPh sb="0" eb="2">
      <t>メンセキ</t>
    </rPh>
    <rPh sb="2" eb="4">
      <t>ヒリツ</t>
    </rPh>
    <rPh sb="7" eb="8">
      <t>ネツ</t>
    </rPh>
    <rPh sb="8" eb="10">
      <t>デンタツ</t>
    </rPh>
    <rPh sb="10" eb="12">
      <t>テイコウ</t>
    </rPh>
    <phoneticPr fontId="2"/>
  </si>
  <si>
    <t>（</t>
    <phoneticPr fontId="2"/>
  </si>
  <si>
    <t>天井</t>
    <rPh sb="0" eb="2">
      <t>テンジョウ</t>
    </rPh>
    <phoneticPr fontId="2"/>
  </si>
  <si>
    <t>）の実質熱貫流率　Ｗ/（㎡Ｋ）</t>
    <phoneticPr fontId="2"/>
  </si>
  <si>
    <t>部　分　名</t>
    <rPh sb="0" eb="3">
      <t>ブブン</t>
    </rPh>
    <rPh sb="4" eb="5">
      <t>メイ</t>
    </rPh>
    <phoneticPr fontId="2"/>
  </si>
  <si>
    <t>一般部</t>
    <rPh sb="0" eb="2">
      <t>イッパン</t>
    </rPh>
    <rPh sb="2" eb="3">
      <t>ブ</t>
    </rPh>
    <phoneticPr fontId="2"/>
  </si>
  <si>
    <t>熱橋部</t>
    <rPh sb="0" eb="1">
      <t>ネツ</t>
    </rPh>
    <rPh sb="1" eb="2">
      <t>キョウ</t>
    </rPh>
    <rPh sb="2" eb="3">
      <t>ブ</t>
    </rPh>
    <phoneticPr fontId="2"/>
  </si>
  <si>
    <t>熱橋面積比</t>
    <rPh sb="0" eb="1">
      <t>ネツ</t>
    </rPh>
    <rPh sb="1" eb="2">
      <t>キョウ</t>
    </rPh>
    <rPh sb="2" eb="4">
      <t>メンセキ</t>
    </rPh>
    <rPh sb="4" eb="5">
      <t>ヒ</t>
    </rPh>
    <phoneticPr fontId="2"/>
  </si>
  <si>
    <t>面積比率</t>
    <rPh sb="0" eb="2">
      <t>メンセキ</t>
    </rPh>
    <rPh sb="2" eb="4">
      <t>ヒリツ</t>
    </rPh>
    <phoneticPr fontId="2"/>
  </si>
  <si>
    <t>熱伝導率λ
Ｗ/(ｍ・Ｋ)</t>
    <rPh sb="0" eb="1">
      <t>ネツ</t>
    </rPh>
    <rPh sb="1" eb="4">
      <t>デンドウリツ</t>
    </rPh>
    <phoneticPr fontId="2"/>
  </si>
  <si>
    <t>厚さｄ
ｍ</t>
    <rPh sb="0" eb="1">
      <t>アツ</t>
    </rPh>
    <phoneticPr fontId="2"/>
  </si>
  <si>
    <t>ｄ/λ
㎡・Ｋ/Ｗ</t>
    <phoneticPr fontId="2"/>
  </si>
  <si>
    <t>構法</t>
    <rPh sb="0" eb="2">
      <t>コウホウ</t>
    </rPh>
    <phoneticPr fontId="2"/>
  </si>
  <si>
    <t>断熱方法</t>
    <rPh sb="0" eb="2">
      <t>ダンネツ</t>
    </rPh>
    <rPh sb="2" eb="4">
      <t>ホウホウ</t>
    </rPh>
    <phoneticPr fontId="2"/>
  </si>
  <si>
    <t>熱橋部</t>
    <rPh sb="0" eb="2">
      <t>ネッキョウ</t>
    </rPh>
    <rPh sb="2" eb="3">
      <t>ブ</t>
    </rPh>
    <phoneticPr fontId="2"/>
  </si>
  <si>
    <t>－</t>
    <phoneticPr fontId="2"/>
  </si>
  <si>
    <t>－</t>
  </si>
  <si>
    <t>軸組・枠組壁</t>
    <rPh sb="0" eb="2">
      <t>ジクグミ</t>
    </rPh>
    <rPh sb="3" eb="5">
      <t>ワクグ</t>
    </rPh>
    <rPh sb="5" eb="6">
      <t>カベ</t>
    </rPh>
    <phoneticPr fontId="2"/>
  </si>
  <si>
    <t>アクリアマット14K</t>
  </si>
  <si>
    <t>＊野縁上に断熱材を敷き詰める場合は、全て一般部</t>
    <rPh sb="1" eb="3">
      <t>ノブチ</t>
    </rPh>
    <rPh sb="3" eb="4">
      <t>ウエ</t>
    </rPh>
    <rPh sb="5" eb="7">
      <t>ダンネツ</t>
    </rPh>
    <rPh sb="7" eb="8">
      <t>ザイ</t>
    </rPh>
    <rPh sb="9" eb="10">
      <t>シ</t>
    </rPh>
    <rPh sb="11" eb="12">
      <t>ツ</t>
    </rPh>
    <rPh sb="14" eb="16">
      <t>バアイ</t>
    </rPh>
    <rPh sb="18" eb="19">
      <t>スベ</t>
    </rPh>
    <rPh sb="20" eb="22">
      <t>イッパン</t>
    </rPh>
    <rPh sb="22" eb="23">
      <t>ブ</t>
    </rPh>
    <phoneticPr fontId="2"/>
  </si>
  <si>
    <r>
      <t>熱貫流抵抗　　ΣＲ＝Σ（ｄ</t>
    </r>
    <r>
      <rPr>
        <sz val="8"/>
        <rFont val="HG丸ｺﾞｼｯｸM-PRO"/>
        <family val="3"/>
        <charset val="128"/>
      </rPr>
      <t>ｉ</t>
    </r>
    <r>
      <rPr>
        <sz val="10"/>
        <rFont val="HG丸ｺﾞｼｯｸM-PRO"/>
        <family val="3"/>
        <charset val="128"/>
      </rPr>
      <t>/λ</t>
    </r>
    <r>
      <rPr>
        <sz val="8"/>
        <rFont val="HG丸ｺﾞｼｯｸM-PRO"/>
        <family val="3"/>
        <charset val="128"/>
      </rPr>
      <t>ｉ</t>
    </r>
    <r>
      <rPr>
        <sz val="10"/>
        <rFont val="HG丸ｺﾞｼｯｸM-PRO"/>
        <family val="3"/>
        <charset val="128"/>
      </rPr>
      <t>）</t>
    </r>
    <rPh sb="0" eb="1">
      <t>ネツ</t>
    </rPh>
    <rPh sb="1" eb="3">
      <t>カンリュウ</t>
    </rPh>
    <rPh sb="3" eb="5">
      <t>テイコウ</t>
    </rPh>
    <phoneticPr fontId="2"/>
  </si>
  <si>
    <r>
      <t>熱貫流率　　　Ｕ</t>
    </r>
    <r>
      <rPr>
        <sz val="8"/>
        <rFont val="HG丸ｺﾞｼｯｸM-PRO"/>
        <family val="3"/>
        <charset val="128"/>
      </rPr>
      <t>ｎ</t>
    </r>
    <r>
      <rPr>
        <sz val="10"/>
        <rFont val="HG丸ｺﾞｼｯｸM-PRO"/>
        <family val="3"/>
        <charset val="128"/>
      </rPr>
      <t>＝１/ΣＲ</t>
    </r>
    <rPh sb="0" eb="1">
      <t>ネツ</t>
    </rPh>
    <rPh sb="1" eb="3">
      <t>カンリュウ</t>
    </rPh>
    <rPh sb="3" eb="4">
      <t>リツ</t>
    </rPh>
    <phoneticPr fontId="2"/>
  </si>
  <si>
    <r>
      <t>平均熱貫流率　Ｕ</t>
    </r>
    <r>
      <rPr>
        <sz val="8"/>
        <rFont val="HG丸ｺﾞｼｯｸM-PRO"/>
        <family val="3"/>
        <charset val="128"/>
      </rPr>
      <t>i</t>
    </r>
    <r>
      <rPr>
        <sz val="10"/>
        <rFont val="HG丸ｺﾞｼｯｸM-PRO"/>
        <family val="3"/>
        <charset val="128"/>
      </rPr>
      <t>＝Σ（</t>
    </r>
    <r>
      <rPr>
        <sz val="12"/>
        <rFont val="HG丸ｺﾞｼｯｸM-PRO"/>
        <family val="3"/>
        <charset val="128"/>
      </rPr>
      <t>ａ</t>
    </r>
    <r>
      <rPr>
        <sz val="10"/>
        <rFont val="HG丸ｺﾞｼｯｸM-PRO"/>
        <family val="3"/>
        <charset val="128"/>
      </rPr>
      <t>in・</t>
    </r>
    <r>
      <rPr>
        <sz val="8"/>
        <rFont val="HG丸ｺﾞｼｯｸM-PRO"/>
        <family val="3"/>
        <charset val="128"/>
      </rPr>
      <t>Ｕｎ</t>
    </r>
    <r>
      <rPr>
        <sz val="10"/>
        <rFont val="HG丸ｺﾞｼｯｸM-PRO"/>
        <family val="3"/>
        <charset val="128"/>
      </rPr>
      <t>）　</t>
    </r>
    <rPh sb="0" eb="2">
      <t>ヘイキン</t>
    </rPh>
    <rPh sb="2" eb="3">
      <t>ネツ</t>
    </rPh>
    <rPh sb="3" eb="5">
      <t>カンリュウ</t>
    </rPh>
    <rPh sb="5" eb="6">
      <t>リツ</t>
    </rPh>
    <phoneticPr fontId="2"/>
  </si>
  <si>
    <t>屋根</t>
    <rPh sb="0" eb="2">
      <t>ヤネ</t>
    </rPh>
    <phoneticPr fontId="2"/>
  </si>
  <si>
    <t>※1</t>
    <phoneticPr fontId="2"/>
  </si>
  <si>
    <t>アクリアウール16K</t>
  </si>
  <si>
    <t>（※1　母屋下で断熱した場合）</t>
    <rPh sb="4" eb="6">
      <t>モヤ</t>
    </rPh>
    <rPh sb="6" eb="7">
      <t>シタ</t>
    </rPh>
    <rPh sb="8" eb="10">
      <t>ダンネツ</t>
    </rPh>
    <rPh sb="12" eb="14">
      <t>バアイ</t>
    </rPh>
    <phoneticPr fontId="2"/>
  </si>
  <si>
    <t>壁</t>
    <rPh sb="0" eb="1">
      <t>カベ</t>
    </rPh>
    <phoneticPr fontId="2"/>
  </si>
  <si>
    <t>構法　：　断熱方法</t>
    <rPh sb="0" eb="2">
      <t>コウホウ</t>
    </rPh>
    <phoneticPr fontId="2"/>
  </si>
  <si>
    <t>アクリアネクスト14K</t>
  </si>
  <si>
    <t>柱の「厚さ」は、断熱材と同じ厚さを入力します。</t>
    <rPh sb="0" eb="1">
      <t>ハシラ</t>
    </rPh>
    <rPh sb="3" eb="4">
      <t>アツ</t>
    </rPh>
    <rPh sb="8" eb="10">
      <t>ダンネツ</t>
    </rPh>
    <rPh sb="10" eb="11">
      <t>ザイ</t>
    </rPh>
    <rPh sb="12" eb="13">
      <t>オナ</t>
    </rPh>
    <rPh sb="14" eb="15">
      <t>アツ</t>
    </rPh>
    <rPh sb="17" eb="19">
      <t>ニュウリョク</t>
    </rPh>
    <phoneticPr fontId="2"/>
  </si>
  <si>
    <t>例）　アクリアネクスト14k85mmのとき→天然木材1種（柱）も85mm＝0.085を入力</t>
    <rPh sb="0" eb="1">
      <t>レイ</t>
    </rPh>
    <rPh sb="22" eb="24">
      <t>テンネン</t>
    </rPh>
    <rPh sb="24" eb="26">
      <t>モクザイ</t>
    </rPh>
    <rPh sb="27" eb="28">
      <t>シュ</t>
    </rPh>
    <rPh sb="29" eb="30">
      <t>ハシラ</t>
    </rPh>
    <rPh sb="43" eb="45">
      <t>ニュウリョク</t>
    </rPh>
    <phoneticPr fontId="2"/>
  </si>
  <si>
    <t>その他床</t>
    <rPh sb="2" eb="3">
      <t>タ</t>
    </rPh>
    <rPh sb="3" eb="4">
      <t>ユカ</t>
    </rPh>
    <phoneticPr fontId="2"/>
  </si>
  <si>
    <t>構法 ・ 断熱方法</t>
    <rPh sb="0" eb="2">
      <t>コウホウ</t>
    </rPh>
    <phoneticPr fontId="2"/>
  </si>
  <si>
    <t>アクリアＵボード24K</t>
  </si>
  <si>
    <t>この数値は他のシートに連動していますので、列、行を削除しないでください。</t>
    <rPh sb="2" eb="4">
      <t>スウチ</t>
    </rPh>
    <rPh sb="5" eb="6">
      <t>ホカ</t>
    </rPh>
    <rPh sb="11" eb="13">
      <t>レンドウ</t>
    </rPh>
    <rPh sb="21" eb="22">
      <t>レツ</t>
    </rPh>
    <rPh sb="23" eb="24">
      <t>ギョウ</t>
    </rPh>
    <rPh sb="25" eb="27">
      <t>サクジョ</t>
    </rPh>
    <phoneticPr fontId="2"/>
  </si>
  <si>
    <t>ＵA</t>
    <phoneticPr fontId="2"/>
  </si>
  <si>
    <t>ηA</t>
    <phoneticPr fontId="2"/>
  </si>
  <si>
    <t>１（Ⅰa）</t>
    <phoneticPr fontId="2"/>
  </si>
  <si>
    <t>-</t>
    <phoneticPr fontId="2"/>
  </si>
  <si>
    <t>■このシートは旭ファイバーグラスにて追加したものです。</t>
    <rPh sb="7" eb="8">
      <t>アサヒ</t>
    </rPh>
    <rPh sb="18" eb="20">
      <t>ツイカ</t>
    </rPh>
    <phoneticPr fontId="2"/>
  </si>
  <si>
    <t>２（Ⅰb）</t>
    <phoneticPr fontId="2"/>
  </si>
  <si>
    <t>３（Ⅱ）</t>
    <phoneticPr fontId="2"/>
  </si>
  <si>
    <t>４（Ⅲ）</t>
    <phoneticPr fontId="2"/>
  </si>
  <si>
    <t>５（Ⅳa）</t>
    <phoneticPr fontId="2"/>
  </si>
  <si>
    <t>６（Ⅳb）</t>
    <phoneticPr fontId="2"/>
  </si>
  <si>
    <t>７（Ⅴ）</t>
    <phoneticPr fontId="2"/>
  </si>
  <si>
    <t>８（Ⅵ）</t>
    <phoneticPr fontId="2"/>
  </si>
  <si>
    <t>熱伝導率表</t>
    <rPh sb="0" eb="4">
      <t>ネツデンドウリツ</t>
    </rPh>
    <rPh sb="4" eb="5">
      <t>ヒョウ</t>
    </rPh>
    <phoneticPr fontId="2"/>
  </si>
  <si>
    <t>材料</t>
    <rPh sb="0" eb="2">
      <t>ザイリョウ</t>
    </rPh>
    <phoneticPr fontId="2"/>
  </si>
  <si>
    <t>λ</t>
    <phoneticPr fontId="2"/>
  </si>
  <si>
    <t>断熱材</t>
    <rPh sb="0" eb="2">
      <t>ダンネツ</t>
    </rPh>
    <rPh sb="2" eb="3">
      <t>ザイ</t>
    </rPh>
    <phoneticPr fontId="2"/>
  </si>
  <si>
    <t>←空欄</t>
    <rPh sb="1" eb="3">
      <t>クウラン</t>
    </rPh>
    <phoneticPr fontId="2"/>
  </si>
  <si>
    <t>アクリアマット10K(90･65･50mm品)</t>
    <rPh sb="21" eb="22">
      <t>ヒン</t>
    </rPh>
    <phoneticPr fontId="2"/>
  </si>
  <si>
    <t>アクリアマット10K(100mm品)</t>
    <rPh sb="16" eb="17">
      <t>ヒン</t>
    </rPh>
    <phoneticPr fontId="2"/>
  </si>
  <si>
    <t>アクリアサンカット14K(天井)</t>
    <rPh sb="13" eb="15">
      <t>テンジョウ</t>
    </rPh>
    <phoneticPr fontId="2"/>
  </si>
  <si>
    <t>アクリアサンカット24K(屋根)</t>
    <rPh sb="13" eb="15">
      <t>ヤネ</t>
    </rPh>
    <phoneticPr fontId="2"/>
  </si>
  <si>
    <t>アクリアマット24K</t>
    <phoneticPr fontId="2"/>
  </si>
  <si>
    <t>アクリアネクスト14K</t>
    <phoneticPr fontId="2"/>
  </si>
  <si>
    <t>アクリアウール16K</t>
    <phoneticPr fontId="2"/>
  </si>
  <si>
    <t>アクリアウール24K</t>
    <phoneticPr fontId="2"/>
  </si>
  <si>
    <t>アクリアＵボード24K</t>
    <phoneticPr fontId="2"/>
  </si>
  <si>
    <t>アクリアＵボード32K</t>
    <phoneticPr fontId="2"/>
  </si>
  <si>
    <t>アクリアネクストα20K</t>
    <phoneticPr fontId="2"/>
  </si>
  <si>
    <t>アクリアマットα20K</t>
    <phoneticPr fontId="2"/>
  </si>
  <si>
    <t>アクリアウールα20K</t>
    <phoneticPr fontId="2"/>
  </si>
  <si>
    <t>アクリアウールα36K</t>
    <phoneticPr fontId="2"/>
  </si>
  <si>
    <t>アクリアＵボードピンレスα36K</t>
    <phoneticPr fontId="2"/>
  </si>
  <si>
    <t>AFボード（KS)</t>
    <phoneticPr fontId="2"/>
  </si>
  <si>
    <t>押出PS3種</t>
    <rPh sb="0" eb="2">
      <t>オシダシ</t>
    </rPh>
    <rPh sb="5" eb="6">
      <t>シュ</t>
    </rPh>
    <phoneticPr fontId="2"/>
  </si>
  <si>
    <t>内装・内装下地</t>
    <rPh sb="0" eb="2">
      <t>ナイソウ</t>
    </rPh>
    <rPh sb="3" eb="5">
      <t>ナイソウ</t>
    </rPh>
    <rPh sb="5" eb="7">
      <t>シタジ</t>
    </rPh>
    <phoneticPr fontId="2"/>
  </si>
  <si>
    <t>石膏ボード</t>
    <rPh sb="0" eb="2">
      <t>セッコウ</t>
    </rPh>
    <phoneticPr fontId="2"/>
  </si>
  <si>
    <t>合板</t>
    <rPh sb="0" eb="2">
      <t>ゴウハン</t>
    </rPh>
    <phoneticPr fontId="2"/>
  </si>
  <si>
    <t>合板ﾌﾛｱ</t>
    <rPh sb="0" eb="2">
      <t>ゴウハン</t>
    </rPh>
    <phoneticPr fontId="2"/>
  </si>
  <si>
    <t>畳床</t>
    <rPh sb="0" eb="1">
      <t>タタミ</t>
    </rPh>
    <rPh sb="1" eb="2">
      <t>ユカ</t>
    </rPh>
    <phoneticPr fontId="2"/>
  </si>
  <si>
    <t>木</t>
    <rPh sb="0" eb="1">
      <t>モク</t>
    </rPh>
    <phoneticPr fontId="2"/>
  </si>
  <si>
    <t>天然木材</t>
    <rPh sb="0" eb="2">
      <t>テンネン</t>
    </rPh>
    <rPh sb="2" eb="4">
      <t>モクザイ</t>
    </rPh>
    <phoneticPr fontId="2"/>
  </si>
  <si>
    <t>外合板</t>
    <rPh sb="0" eb="1">
      <t>ソト</t>
    </rPh>
    <rPh sb="1" eb="3">
      <t>ゴウハン</t>
    </rPh>
    <phoneticPr fontId="2"/>
  </si>
  <si>
    <t>パーティクルボード</t>
    <phoneticPr fontId="2"/>
  </si>
  <si>
    <t>ダイライト</t>
    <phoneticPr fontId="2"/>
  </si>
  <si>
    <t>ノボパン</t>
    <phoneticPr fontId="2"/>
  </si>
  <si>
    <t>躯体</t>
    <rPh sb="0" eb="2">
      <t>クタイ</t>
    </rPh>
    <phoneticPr fontId="2"/>
  </si>
  <si>
    <t>コンクリート</t>
    <phoneticPr fontId="2"/>
  </si>
  <si>
    <t>仕様に応じた開口部の熱貫流率</t>
    <rPh sb="0" eb="2">
      <t>シヨウ</t>
    </rPh>
    <rPh sb="3" eb="4">
      <t>オウ</t>
    </rPh>
    <rPh sb="6" eb="9">
      <t>カイコウブ</t>
    </rPh>
    <rPh sb="10" eb="11">
      <t>ネツ</t>
    </rPh>
    <rPh sb="11" eb="13">
      <t>カンリュウ</t>
    </rPh>
    <rPh sb="13" eb="14">
      <t>リツ</t>
    </rPh>
    <phoneticPr fontId="2"/>
  </si>
  <si>
    <t>窓枠を考慮した日射熱取得率</t>
    <rPh sb="0" eb="1">
      <t>マド</t>
    </rPh>
    <rPh sb="1" eb="2">
      <t>ワク</t>
    </rPh>
    <rPh sb="3" eb="5">
      <t>コウリョ</t>
    </rPh>
    <rPh sb="7" eb="9">
      <t>ニッシャ</t>
    </rPh>
    <rPh sb="9" eb="10">
      <t>ネツ</t>
    </rPh>
    <rPh sb="10" eb="12">
      <t>シュトク</t>
    </rPh>
    <rPh sb="12" eb="13">
      <t>リツ</t>
    </rPh>
    <phoneticPr fontId="2"/>
  </si>
  <si>
    <t>建具の構成</t>
    <rPh sb="0" eb="2">
      <t>タテグ</t>
    </rPh>
    <rPh sb="3" eb="5">
      <t>コウセイ</t>
    </rPh>
    <phoneticPr fontId="2"/>
  </si>
  <si>
    <t>開口部の
熱貫流率
W/（㎡K）</t>
    <rPh sb="0" eb="3">
      <t>カイコウブ</t>
    </rPh>
    <rPh sb="5" eb="6">
      <t>ネツ</t>
    </rPh>
    <rPh sb="6" eb="8">
      <t>カンリュウ</t>
    </rPh>
    <rPh sb="8" eb="9">
      <t>リツ</t>
    </rPh>
    <phoneticPr fontId="2"/>
  </si>
  <si>
    <t>ガラス種別及び付属部材に応じた日射熱取得率</t>
  </si>
  <si>
    <t>建具の仕様</t>
    <rPh sb="0" eb="2">
      <t>タテグ</t>
    </rPh>
    <rPh sb="3" eb="5">
      <t>シヨウ</t>
    </rPh>
    <phoneticPr fontId="2"/>
  </si>
  <si>
    <t>ガラスの仕様※1</t>
    <rPh sb="4" eb="6">
      <t>シヨウ</t>
    </rPh>
    <phoneticPr fontId="2"/>
  </si>
  <si>
    <t>●窓枠：木製建具又は樹脂製建具</t>
    <rPh sb="1" eb="3">
      <t>マドワク</t>
    </rPh>
    <rPh sb="4" eb="6">
      <t>モクセイ</t>
    </rPh>
    <rPh sb="6" eb="8">
      <t>タテグ</t>
    </rPh>
    <rPh sb="8" eb="9">
      <t>マタ</t>
    </rPh>
    <rPh sb="10" eb="12">
      <t>ジュシ</t>
    </rPh>
    <rPh sb="12" eb="13">
      <t>セイ</t>
    </rPh>
    <rPh sb="13" eb="15">
      <t>タテグ</t>
    </rPh>
    <phoneticPr fontId="2"/>
  </si>
  <si>
    <t>窓・引き戸・框ドア</t>
    <rPh sb="0" eb="1">
      <t>マド</t>
    </rPh>
    <rPh sb="2" eb="3">
      <t>ヒ</t>
    </rPh>
    <rPh sb="4" eb="5">
      <t>ド</t>
    </rPh>
    <rPh sb="6" eb="7">
      <t>カマチ</t>
    </rPh>
    <phoneticPr fontId="2"/>
  </si>
  <si>
    <t>（一重）木製またはプラスチック製</t>
    <rPh sb="1" eb="3">
      <t>イチジュウ</t>
    </rPh>
    <rPh sb="4" eb="6">
      <t>モクセイ</t>
    </rPh>
    <rPh sb="15" eb="16">
      <t>セイ</t>
    </rPh>
    <phoneticPr fontId="2"/>
  </si>
  <si>
    <t>Low-E　複層（G12以上）</t>
    <rPh sb="6" eb="8">
      <t>フクソウ</t>
    </rPh>
    <rPh sb="12" eb="14">
      <t>イジョウ</t>
    </rPh>
    <phoneticPr fontId="2"/>
  </si>
  <si>
    <r>
      <t>ガラスの仕様</t>
    </r>
    <r>
      <rPr>
        <vertAlign val="superscript"/>
        <sz val="11"/>
        <rFont val="ＭＳ Ｐ明朝"/>
        <family val="1"/>
        <charset val="128"/>
      </rPr>
      <t>※1</t>
    </r>
    <rPh sb="4" eb="6">
      <t>シヨウ</t>
    </rPh>
    <phoneticPr fontId="2"/>
  </si>
  <si>
    <t>日射熱取得率　η</t>
    <rPh sb="0" eb="2">
      <t>ニッシャ</t>
    </rPh>
    <rPh sb="2" eb="3">
      <t>ネツ</t>
    </rPh>
    <rPh sb="3" eb="5">
      <t>シュトク</t>
    </rPh>
    <rPh sb="5" eb="6">
      <t>リツ</t>
    </rPh>
    <phoneticPr fontId="2"/>
  </si>
  <si>
    <t>Low-E　三層複層（A9以上×2）</t>
    <rPh sb="6" eb="7">
      <t>3</t>
    </rPh>
    <rPh sb="7" eb="8">
      <t>ソウ</t>
    </rPh>
    <rPh sb="8" eb="10">
      <t>フクソウ</t>
    </rPh>
    <rPh sb="13" eb="15">
      <t>イジョウ</t>
    </rPh>
    <phoneticPr fontId="2"/>
  </si>
  <si>
    <t>ガラスのみ</t>
    <phoneticPr fontId="2"/>
  </si>
  <si>
    <t>和障子</t>
    <rPh sb="0" eb="1">
      <t>ワ</t>
    </rPh>
    <rPh sb="1" eb="3">
      <t>ショウジ</t>
    </rPh>
    <phoneticPr fontId="2"/>
  </si>
  <si>
    <t>外付けﾌﾞﾗｲﾝﾄﾞ</t>
    <rPh sb="0" eb="1">
      <t>ソト</t>
    </rPh>
    <rPh sb="1" eb="2">
      <t>ツ</t>
    </rPh>
    <phoneticPr fontId="2"/>
  </si>
  <si>
    <t>Low-E　複層（A10以上）</t>
    <rPh sb="6" eb="8">
      <t>フクソウ</t>
    </rPh>
    <rPh sb="12" eb="14">
      <t>イジョウ</t>
    </rPh>
    <phoneticPr fontId="2"/>
  </si>
  <si>
    <t>三層複層</t>
    <rPh sb="0" eb="2">
      <t>サンソウ</t>
    </rPh>
    <rPh sb="2" eb="4">
      <t>フクソウ</t>
    </rPh>
    <phoneticPr fontId="2"/>
  </si>
  <si>
    <t>2枚以上のガラス表面にLow-E膜を使用したLow-E三層複層ガラス</t>
    <rPh sb="1" eb="4">
      <t>マイイジョウ</t>
    </rPh>
    <rPh sb="8" eb="9">
      <t>ヒョウ</t>
    </rPh>
    <rPh sb="9" eb="10">
      <t>メン</t>
    </rPh>
    <rPh sb="16" eb="17">
      <t>マク</t>
    </rPh>
    <rPh sb="18" eb="20">
      <t>シヨウ</t>
    </rPh>
    <rPh sb="27" eb="29">
      <t>３ソウ</t>
    </rPh>
    <rPh sb="29" eb="31">
      <t>フクソウ</t>
    </rPh>
    <phoneticPr fontId="2"/>
  </si>
  <si>
    <t>日射取得型</t>
    <rPh sb="0" eb="2">
      <t>ニッシャ</t>
    </rPh>
    <rPh sb="2" eb="4">
      <t>シュトク</t>
    </rPh>
    <rPh sb="4" eb="5">
      <t>カタ</t>
    </rPh>
    <phoneticPr fontId="2"/>
  </si>
  <si>
    <t>複層（A10以上）</t>
    <rPh sb="0" eb="2">
      <t>フクソウ</t>
    </rPh>
    <rPh sb="6" eb="8">
      <t>イジョウ</t>
    </rPh>
    <phoneticPr fontId="2"/>
  </si>
  <si>
    <t>日射遮蔽型</t>
    <rPh sb="0" eb="2">
      <t>ニッシャ</t>
    </rPh>
    <rPh sb="2" eb="4">
      <t>シャヘイ</t>
    </rPh>
    <rPh sb="4" eb="5">
      <t>カタ</t>
    </rPh>
    <phoneticPr fontId="2"/>
  </si>
  <si>
    <t>Low-E　複層（A5以上A10未満）</t>
    <rPh sb="6" eb="8">
      <t>フクソウ</t>
    </rPh>
    <rPh sb="11" eb="13">
      <t>イジョウ</t>
    </rPh>
    <rPh sb="16" eb="18">
      <t>ミマン</t>
    </rPh>
    <phoneticPr fontId="2"/>
  </si>
  <si>
    <t>Low-E　三層複層ガラス</t>
    <rPh sb="6" eb="8">
      <t>サンソウ</t>
    </rPh>
    <rPh sb="8" eb="10">
      <t>フクソウ</t>
    </rPh>
    <phoneticPr fontId="2"/>
  </si>
  <si>
    <t>単板</t>
    <rPh sb="0" eb="1">
      <t>タン</t>
    </rPh>
    <rPh sb="1" eb="2">
      <t>イタ</t>
    </rPh>
    <phoneticPr fontId="2"/>
  </si>
  <si>
    <t>（一重）金属・プラスチック（木）</t>
    <rPh sb="1" eb="3">
      <t>イチジュウ</t>
    </rPh>
    <rPh sb="4" eb="6">
      <t>キンゾク</t>
    </rPh>
    <rPh sb="14" eb="15">
      <t>キ</t>
    </rPh>
    <phoneticPr fontId="2"/>
  </si>
  <si>
    <t>二層複層</t>
    <rPh sb="0" eb="1">
      <t>ニ</t>
    </rPh>
    <rPh sb="1" eb="2">
      <t>ソウ</t>
    </rPh>
    <rPh sb="2" eb="4">
      <t>フクソウ</t>
    </rPh>
    <phoneticPr fontId="2"/>
  </si>
  <si>
    <t>Low-E　複層ガラス</t>
    <rPh sb="6" eb="8">
      <t>フクソウ</t>
    </rPh>
    <phoneticPr fontId="2"/>
  </si>
  <si>
    <t>複合構造製　※2</t>
    <rPh sb="0" eb="2">
      <t>フクゴウ</t>
    </rPh>
    <rPh sb="2" eb="4">
      <t>コウゾウ</t>
    </rPh>
    <rPh sb="4" eb="5">
      <t>セイ</t>
    </rPh>
    <phoneticPr fontId="2"/>
  </si>
  <si>
    <t>遮熱複層ガラス</t>
    <rPh sb="0" eb="2">
      <t>シャネツ</t>
    </rPh>
    <rPh sb="2" eb="4">
      <t>フクソウ</t>
    </rPh>
    <phoneticPr fontId="2"/>
  </si>
  <si>
    <t>熱線反射ガラス1種</t>
    <rPh sb="0" eb="2">
      <t>ネッセン</t>
    </rPh>
    <rPh sb="2" eb="4">
      <t>ハンシャ</t>
    </rPh>
    <rPh sb="8" eb="9">
      <t>シュ</t>
    </rPh>
    <phoneticPr fontId="2"/>
  </si>
  <si>
    <t>複層（A6以上A10未満）</t>
    <rPh sb="0" eb="2">
      <t>フクソウ</t>
    </rPh>
    <rPh sb="5" eb="7">
      <t>イジョウ</t>
    </rPh>
    <rPh sb="10" eb="12">
      <t>ミマン</t>
    </rPh>
    <phoneticPr fontId="2"/>
  </si>
  <si>
    <t>熱線反射ガラス2種</t>
    <rPh sb="0" eb="2">
      <t>ネッセン</t>
    </rPh>
    <rPh sb="2" eb="4">
      <t>ハンシャ</t>
    </rPh>
    <rPh sb="8" eb="9">
      <t>シュ</t>
    </rPh>
    <phoneticPr fontId="2"/>
  </si>
  <si>
    <t>（一重）金属製熱遮断構造</t>
    <rPh sb="1" eb="3">
      <t>イチジュウ</t>
    </rPh>
    <rPh sb="4" eb="6">
      <t>キンゾク</t>
    </rPh>
    <rPh sb="6" eb="7">
      <t>セイ</t>
    </rPh>
    <rPh sb="7" eb="8">
      <t>ネツ</t>
    </rPh>
    <rPh sb="8" eb="10">
      <t>シャダン</t>
    </rPh>
    <rPh sb="10" eb="12">
      <t>コウゾウ</t>
    </rPh>
    <phoneticPr fontId="2"/>
  </si>
  <si>
    <t>熱線反射ガラス3種</t>
    <rPh sb="0" eb="2">
      <t>ネッセン</t>
    </rPh>
    <rPh sb="2" eb="4">
      <t>ハンシャ</t>
    </rPh>
    <rPh sb="8" eb="9">
      <t>シュ</t>
    </rPh>
    <phoneticPr fontId="2"/>
  </si>
  <si>
    <t>※3</t>
    <phoneticPr fontId="2"/>
  </si>
  <si>
    <t>Low-E　複層（A6以上A10未満）</t>
    <rPh sb="6" eb="8">
      <t>フクソウ</t>
    </rPh>
    <rPh sb="11" eb="13">
      <t>イジョウ</t>
    </rPh>
    <rPh sb="16" eb="18">
      <t>ミマン</t>
    </rPh>
    <phoneticPr fontId="2"/>
  </si>
  <si>
    <t>熱線吸収板ガラス2種</t>
    <rPh sb="0" eb="2">
      <t>ネッセン</t>
    </rPh>
    <rPh sb="2" eb="4">
      <t>キュウシュウ</t>
    </rPh>
    <rPh sb="4" eb="5">
      <t>イタ</t>
    </rPh>
    <rPh sb="9" eb="10">
      <t>シュ</t>
    </rPh>
    <phoneticPr fontId="2"/>
  </si>
  <si>
    <t>複層ガラス</t>
    <rPh sb="0" eb="2">
      <t>フクソウ</t>
    </rPh>
    <phoneticPr fontId="2"/>
  </si>
  <si>
    <r>
      <t>単板ガラス2枚を組合せたもの</t>
    </r>
    <r>
      <rPr>
        <sz val="9"/>
        <rFont val="ＭＳ Ｐ明朝"/>
        <family val="1"/>
        <charset val="128"/>
      </rPr>
      <t>(中間部にﾌﾞﾗｲﾝﾄﾞ設置されたものを含む)</t>
    </r>
    <rPh sb="0" eb="1">
      <t>タン</t>
    </rPh>
    <rPh sb="1" eb="2">
      <t>イタ</t>
    </rPh>
    <rPh sb="6" eb="7">
      <t>マイ</t>
    </rPh>
    <rPh sb="8" eb="10">
      <t>クミアワ</t>
    </rPh>
    <rPh sb="15" eb="17">
      <t>チュウカン</t>
    </rPh>
    <rPh sb="17" eb="18">
      <t>ブ</t>
    </rPh>
    <rPh sb="26" eb="28">
      <t>セッチ</t>
    </rPh>
    <rPh sb="34" eb="35">
      <t>フク</t>
    </rPh>
    <phoneticPr fontId="2"/>
  </si>
  <si>
    <t>（一重）金属製</t>
    <rPh sb="1" eb="3">
      <t>イチジュウ</t>
    </rPh>
    <rPh sb="4" eb="6">
      <t>キンゾク</t>
    </rPh>
    <rPh sb="6" eb="7">
      <t>セイ</t>
    </rPh>
    <phoneticPr fontId="2"/>
  </si>
  <si>
    <t>単層</t>
    <rPh sb="0" eb="2">
      <t>タンソウ</t>
    </rPh>
    <phoneticPr fontId="2"/>
  </si>
  <si>
    <t>単板ガラス</t>
  </si>
  <si>
    <t>複層（A4以上A10未満）</t>
    <rPh sb="0" eb="2">
      <t>フクソウ</t>
    </rPh>
    <rPh sb="5" eb="7">
      <t>イジョウ</t>
    </rPh>
    <rPh sb="10" eb="12">
      <t>ミマン</t>
    </rPh>
    <phoneticPr fontId="2"/>
  </si>
  <si>
    <t>単板＋単板　（A12以上）※4</t>
    <rPh sb="0" eb="1">
      <t>タン</t>
    </rPh>
    <rPh sb="1" eb="2">
      <t>イタ</t>
    </rPh>
    <rPh sb="3" eb="4">
      <t>タン</t>
    </rPh>
    <rPh sb="4" eb="5">
      <t>イタ</t>
    </rPh>
    <rPh sb="10" eb="12">
      <t>イジョウ</t>
    </rPh>
    <phoneticPr fontId="2"/>
  </si>
  <si>
    <t>熱線反射ガラス又は</t>
    <rPh sb="0" eb="2">
      <t>ネッセン</t>
    </rPh>
    <rPh sb="2" eb="4">
      <t>ハンシャ</t>
    </rPh>
    <rPh sb="7" eb="8">
      <t>マタ</t>
    </rPh>
    <phoneticPr fontId="2"/>
  </si>
  <si>
    <t>単板＋単板　（A6以上A12未満）※4</t>
    <rPh sb="0" eb="1">
      <t>タン</t>
    </rPh>
    <rPh sb="1" eb="2">
      <t>イタ</t>
    </rPh>
    <rPh sb="3" eb="4">
      <t>タン</t>
    </rPh>
    <rPh sb="4" eb="5">
      <t>イタ</t>
    </rPh>
    <rPh sb="9" eb="11">
      <t>イジョウ</t>
    </rPh>
    <rPh sb="14" eb="16">
      <t>ミマン</t>
    </rPh>
    <phoneticPr fontId="2"/>
  </si>
  <si>
    <t>熱線吸収板ガラス以外</t>
    <rPh sb="0" eb="2">
      <t>ネッセン</t>
    </rPh>
    <rPh sb="2" eb="4">
      <t>キュウシュウ</t>
    </rPh>
    <rPh sb="4" eb="5">
      <t>イタ</t>
    </rPh>
    <rPh sb="8" eb="10">
      <t>イガイ</t>
    </rPh>
    <phoneticPr fontId="2"/>
  </si>
  <si>
    <t>窓</t>
    <rPh sb="0" eb="1">
      <t>マド</t>
    </rPh>
    <phoneticPr fontId="2"/>
  </si>
  <si>
    <t>（二重）金属製＋プラスチック（木）製</t>
    <rPh sb="1" eb="3">
      <t>ニジュウ</t>
    </rPh>
    <rPh sb="4" eb="6">
      <t>キンゾク</t>
    </rPh>
    <rPh sb="6" eb="7">
      <t>セイ</t>
    </rPh>
    <rPh sb="15" eb="16">
      <t>キ</t>
    </rPh>
    <rPh sb="17" eb="18">
      <t>セイ</t>
    </rPh>
    <phoneticPr fontId="2"/>
  </si>
  <si>
    <t>単板＋Low-E　複層（A12以上）</t>
    <rPh sb="0" eb="1">
      <t>タン</t>
    </rPh>
    <rPh sb="1" eb="2">
      <t>イタ</t>
    </rPh>
    <phoneticPr fontId="2"/>
  </si>
  <si>
    <t>●窓枠：木と複合材料製または樹脂と金属の複合材料建具、金属製熱遮断構造建具、または金属製建具</t>
    <rPh sb="6" eb="8">
      <t>フクゴウ</t>
    </rPh>
    <rPh sb="8" eb="10">
      <t>ザイリョウ</t>
    </rPh>
    <rPh sb="10" eb="11">
      <t>セイ</t>
    </rPh>
    <rPh sb="14" eb="16">
      <t>ジュシ</t>
    </rPh>
    <rPh sb="17" eb="19">
      <t>キンゾク</t>
    </rPh>
    <rPh sb="20" eb="22">
      <t>フクゴウ</t>
    </rPh>
    <rPh sb="22" eb="24">
      <t>ザイリョウ</t>
    </rPh>
    <rPh sb="24" eb="26">
      <t>タテグ</t>
    </rPh>
    <rPh sb="27" eb="29">
      <t>キンゾク</t>
    </rPh>
    <rPh sb="29" eb="30">
      <t>セイ</t>
    </rPh>
    <rPh sb="30" eb="31">
      <t>ネツ</t>
    </rPh>
    <rPh sb="31" eb="33">
      <t>シャダン</t>
    </rPh>
    <rPh sb="33" eb="35">
      <t>コウゾウ</t>
    </rPh>
    <rPh sb="35" eb="37">
      <t>タテグ</t>
    </rPh>
    <rPh sb="41" eb="43">
      <t>キンゾク</t>
    </rPh>
    <rPh sb="43" eb="44">
      <t>セイ</t>
    </rPh>
    <rPh sb="44" eb="46">
      <t>タテグ</t>
    </rPh>
    <phoneticPr fontId="2"/>
  </si>
  <si>
    <t>単板＋複層（A12以上）</t>
    <rPh sb="0" eb="1">
      <t>タン</t>
    </rPh>
    <rPh sb="1" eb="2">
      <t>イタ</t>
    </rPh>
    <phoneticPr fontId="2"/>
  </si>
  <si>
    <t>単板＋Low-E複層（A6以上A12未満）</t>
    <rPh sb="0" eb="1">
      <t>タン</t>
    </rPh>
    <rPh sb="1" eb="2">
      <t>イタ</t>
    </rPh>
    <rPh sb="8" eb="10">
      <t>フクソウ</t>
    </rPh>
    <phoneticPr fontId="2"/>
  </si>
  <si>
    <t>ガラスのみ</t>
    <phoneticPr fontId="2"/>
  </si>
  <si>
    <t>単板＋単板</t>
    <rPh sb="0" eb="1">
      <t>タン</t>
    </rPh>
    <rPh sb="1" eb="2">
      <t>イタ</t>
    </rPh>
    <rPh sb="3" eb="4">
      <t>タン</t>
    </rPh>
    <rPh sb="4" eb="5">
      <t>イタ</t>
    </rPh>
    <phoneticPr fontId="2"/>
  </si>
  <si>
    <t>（二重）金属製＋金属製（枠中間部熱遮断構造）</t>
    <rPh sb="1" eb="3">
      <t>ニジュウ</t>
    </rPh>
    <rPh sb="4" eb="6">
      <t>キンゾク</t>
    </rPh>
    <rPh sb="6" eb="7">
      <t>セイ</t>
    </rPh>
    <rPh sb="8" eb="10">
      <t>キンゾク</t>
    </rPh>
    <rPh sb="10" eb="11">
      <t>セイ</t>
    </rPh>
    <rPh sb="12" eb="13">
      <t>ワク</t>
    </rPh>
    <rPh sb="13" eb="15">
      <t>チュウカン</t>
    </rPh>
    <rPh sb="15" eb="16">
      <t>ブ</t>
    </rPh>
    <rPh sb="16" eb="17">
      <t>ネツ</t>
    </rPh>
    <rPh sb="17" eb="19">
      <t>シャダン</t>
    </rPh>
    <rPh sb="19" eb="21">
      <t>コウゾウ</t>
    </rPh>
    <phoneticPr fontId="2"/>
  </si>
  <si>
    <t>単板＋単板</t>
  </si>
  <si>
    <t>ドア</t>
    <phoneticPr fontId="2"/>
  </si>
  <si>
    <t>木製断熱積層構造　※5</t>
    <rPh sb="0" eb="2">
      <t>モクセイ</t>
    </rPh>
    <rPh sb="2" eb="4">
      <t>ダンネツ</t>
    </rPh>
    <rPh sb="4" eb="6">
      <t>セキソウ</t>
    </rPh>
    <rPh sb="6" eb="8">
      <t>コウゾウ</t>
    </rPh>
    <phoneticPr fontId="2"/>
  </si>
  <si>
    <t>Low-E　複層（A10以上）又は「ガラスなし」</t>
    <rPh sb="6" eb="8">
      <t>フクソウ</t>
    </rPh>
    <rPh sb="12" eb="14">
      <t>イジョウ</t>
    </rPh>
    <rPh sb="15" eb="16">
      <t>マタ</t>
    </rPh>
    <phoneticPr fontId="2"/>
  </si>
  <si>
    <t>金属製高断熱構造</t>
    <rPh sb="0" eb="2">
      <t>キンゾク</t>
    </rPh>
    <rPh sb="2" eb="3">
      <t>セイ</t>
    </rPh>
    <rPh sb="3" eb="6">
      <t>コウダンネツ</t>
    </rPh>
    <rPh sb="6" eb="8">
      <t>コウゾウ</t>
    </rPh>
    <phoneticPr fontId="2"/>
  </si>
  <si>
    <t>扉：断熱フラッシュ構造、辺縁部等熱遮断構造※6　枠：熱遮断構造</t>
    <rPh sb="0" eb="1">
      <t>トビラ</t>
    </rPh>
    <rPh sb="2" eb="4">
      <t>ダンネツ</t>
    </rPh>
    <rPh sb="9" eb="11">
      <t>コウゾウ</t>
    </rPh>
    <rPh sb="12" eb="13">
      <t>ヘン</t>
    </rPh>
    <rPh sb="13" eb="14">
      <t>エン</t>
    </rPh>
    <rPh sb="14" eb="15">
      <t>ブ</t>
    </rPh>
    <rPh sb="15" eb="16">
      <t>トウ</t>
    </rPh>
    <rPh sb="16" eb="17">
      <t>ネツ</t>
    </rPh>
    <rPh sb="17" eb="19">
      <t>シャダン</t>
    </rPh>
    <rPh sb="19" eb="21">
      <t>コウゾウ</t>
    </rPh>
    <rPh sb="24" eb="25">
      <t>ワク</t>
    </rPh>
    <rPh sb="26" eb="27">
      <t>ネツ</t>
    </rPh>
    <rPh sb="27" eb="29">
      <t>シャダン</t>
    </rPh>
    <rPh sb="29" eb="31">
      <t>コウゾウ</t>
    </rPh>
    <phoneticPr fontId="2"/>
  </si>
  <si>
    <t>木製扉：木製、枠：金属製</t>
    <rPh sb="0" eb="2">
      <t>モクセイ</t>
    </rPh>
    <rPh sb="2" eb="3">
      <t>トビラ</t>
    </rPh>
    <rPh sb="4" eb="6">
      <t>モクセイ</t>
    </rPh>
    <rPh sb="7" eb="8">
      <t>ワク</t>
    </rPh>
    <rPh sb="9" eb="11">
      <t>キンゾク</t>
    </rPh>
    <rPh sb="11" eb="12">
      <t>セイ</t>
    </rPh>
    <phoneticPr fontId="2"/>
  </si>
  <si>
    <t>複層（A4以上）又は「ガラスなし」</t>
    <rPh sb="0" eb="2">
      <t>フクソウ</t>
    </rPh>
    <rPh sb="5" eb="7">
      <t>イジョウ</t>
    </rPh>
    <rPh sb="8" eb="9">
      <t>マタ</t>
    </rPh>
    <phoneticPr fontId="2"/>
  </si>
  <si>
    <t>金属製　扉：断熱材充填フラッシュ構造　※7</t>
    <rPh sb="0" eb="2">
      <t>キンゾク</t>
    </rPh>
    <rPh sb="2" eb="3">
      <t>セイ</t>
    </rPh>
    <rPh sb="4" eb="5">
      <t>トビラ</t>
    </rPh>
    <rPh sb="6" eb="8">
      <t>ダンネツ</t>
    </rPh>
    <rPh sb="8" eb="9">
      <t>ザイ</t>
    </rPh>
    <rPh sb="9" eb="11">
      <t>ジュウテン</t>
    </rPh>
    <rPh sb="16" eb="18">
      <t>コウゾウ</t>
    </rPh>
    <phoneticPr fontId="2"/>
  </si>
  <si>
    <t>金属製　扉：ハニカムフラッシュ構造　※8</t>
    <rPh sb="0" eb="2">
      <t>キンゾク</t>
    </rPh>
    <rPh sb="2" eb="3">
      <t>セイ</t>
    </rPh>
    <rPh sb="4" eb="5">
      <t>トビラ</t>
    </rPh>
    <rPh sb="15" eb="17">
      <t>コウゾウ</t>
    </rPh>
    <phoneticPr fontId="2"/>
  </si>
  <si>
    <t>H24年度　住宅の外皮と設備の省エネ計画講習テキスト（（財）建築環境・省エネルギー機構）より</t>
  </si>
  <si>
    <t>玄関400超</t>
    <rPh sb="0" eb="2">
      <t>ゲンカン</t>
    </rPh>
    <rPh sb="5" eb="6">
      <t>コ</t>
    </rPh>
    <phoneticPr fontId="2"/>
  </si>
  <si>
    <t>UB400超</t>
    <rPh sb="5" eb="6">
      <t>コ</t>
    </rPh>
    <phoneticPr fontId="2"/>
  </si>
  <si>
    <t>屋根</t>
  </si>
  <si>
    <t>天井</t>
  </si>
  <si>
    <t>外気床</t>
  </si>
  <si>
    <t>その他床</t>
  </si>
  <si>
    <t>玄関土間</t>
  </si>
  <si>
    <t>その他</t>
  </si>
  <si>
    <t>外気側</t>
    <rPh sb="0" eb="2">
      <t>ガイキ</t>
    </rPh>
    <rPh sb="2" eb="3">
      <t>ガワ</t>
    </rPh>
    <phoneticPr fontId="2"/>
  </si>
  <si>
    <t>床下側</t>
    <rPh sb="0" eb="2">
      <t>ユカシタ</t>
    </rPh>
    <rPh sb="2" eb="3">
      <t>ガワ</t>
    </rPh>
    <phoneticPr fontId="2"/>
  </si>
  <si>
    <t>障子</t>
  </si>
  <si>
    <t>モデル住宅（温暖地）にて計算</t>
    <rPh sb="3" eb="5">
      <t>ジュウタク</t>
    </rPh>
    <rPh sb="6" eb="8">
      <t>オンダン</t>
    </rPh>
    <rPh sb="8" eb="9">
      <t>チ</t>
    </rPh>
    <rPh sb="12" eb="14">
      <t>ケイサン</t>
    </rPh>
    <phoneticPr fontId="2"/>
  </si>
  <si>
    <t>アクリアＥブロー20K(屋根・壁･床)</t>
    <rPh sb="12" eb="14">
      <t>ヤネ</t>
    </rPh>
    <rPh sb="15" eb="16">
      <t>カベ</t>
    </rPh>
    <rPh sb="17" eb="18">
      <t>ユカ</t>
    </rPh>
    <phoneticPr fontId="2"/>
  </si>
  <si>
    <t>アクリアEブロー10K(天井)</t>
    <rPh sb="12" eb="14">
      <t>テンジョウ</t>
    </rPh>
    <phoneticPr fontId="2"/>
  </si>
  <si>
    <t>アクリアEブロー22K(屋根･壁・床)</t>
    <rPh sb="12" eb="14">
      <t>ヤネ</t>
    </rPh>
    <rPh sb="15" eb="16">
      <t>カベ</t>
    </rPh>
    <rPh sb="17" eb="18">
      <t>ユカ</t>
    </rPh>
    <phoneticPr fontId="2"/>
  </si>
  <si>
    <t>アクリアマット14K</t>
    <phoneticPr fontId="2"/>
  </si>
  <si>
    <r>
      <t xml:space="preserve">部位U値計算シート </t>
    </r>
    <r>
      <rPr>
        <b/>
        <sz val="14"/>
        <rFont val="HG丸ｺﾞｼｯｸM-PRO"/>
        <family val="3"/>
        <charset val="128"/>
      </rPr>
      <t>＜部位＞</t>
    </r>
    <r>
      <rPr>
        <sz val="12"/>
        <rFont val="HG丸ｺﾞｼｯｸM-PRO"/>
        <family val="3"/>
        <charset val="128"/>
      </rPr>
      <t xml:space="preserve"> の熱貫流率【木造用】</t>
    </r>
    <rPh sb="0" eb="2">
      <t>ブイ</t>
    </rPh>
    <rPh sb="3" eb="4">
      <t>アタイ</t>
    </rPh>
    <rPh sb="4" eb="6">
      <t>ケイサン</t>
    </rPh>
    <rPh sb="11" eb="13">
      <t>ブイ</t>
    </rPh>
    <rPh sb="16" eb="17">
      <t>ネツ</t>
    </rPh>
    <rPh sb="17" eb="19">
      <t>カンリュウ</t>
    </rPh>
    <rPh sb="19" eb="20">
      <t>リツ</t>
    </rPh>
    <rPh sb="21" eb="23">
      <t>モクゾウ</t>
    </rPh>
    <rPh sb="23" eb="24">
      <t>ヨウ</t>
    </rPh>
    <phoneticPr fontId="2"/>
  </si>
  <si>
    <t>1）簡略計算法①（面積比率法）による部位熱貫流率-1</t>
    <rPh sb="2" eb="4">
      <t>カンリャク</t>
    </rPh>
    <rPh sb="4" eb="7">
      <t>ケイサンホウ</t>
    </rPh>
    <rPh sb="9" eb="11">
      <t>メンセキ</t>
    </rPh>
    <rPh sb="11" eb="13">
      <t>ヒリツ</t>
    </rPh>
    <rPh sb="13" eb="14">
      <t>ホウ</t>
    </rPh>
    <rPh sb="18" eb="20">
      <t>ブイ</t>
    </rPh>
    <rPh sb="20" eb="21">
      <t>ネツ</t>
    </rPh>
    <rPh sb="21" eb="23">
      <t>カンリュウ</t>
    </rPh>
    <rPh sb="23" eb="24">
      <t>リツ</t>
    </rPh>
    <phoneticPr fontId="2"/>
  </si>
  <si>
    <t>1）簡略計算法①（面積比率法）による部位熱貫流率-2</t>
    <rPh sb="2" eb="4">
      <t>カンリャク</t>
    </rPh>
    <rPh sb="4" eb="7">
      <t>ケイサンホウ</t>
    </rPh>
    <rPh sb="18" eb="20">
      <t>ブイ</t>
    </rPh>
    <rPh sb="20" eb="21">
      <t>ネツ</t>
    </rPh>
    <rPh sb="21" eb="23">
      <t>カンリュウ</t>
    </rPh>
    <rPh sb="23" eb="24">
      <t>リツ</t>
    </rPh>
    <phoneticPr fontId="2"/>
  </si>
  <si>
    <t>1）簡略計算法①（面積比率法）による部位熱貫流率-3</t>
    <rPh sb="2" eb="4">
      <t>カンリャク</t>
    </rPh>
    <rPh sb="4" eb="7">
      <t>ケイサンホウ</t>
    </rPh>
    <rPh sb="18" eb="20">
      <t>ブイ</t>
    </rPh>
    <rPh sb="20" eb="21">
      <t>ネツ</t>
    </rPh>
    <rPh sb="21" eb="23">
      <t>カンリュウ</t>
    </rPh>
    <rPh sb="23" eb="24">
      <t>リツ</t>
    </rPh>
    <phoneticPr fontId="2"/>
  </si>
  <si>
    <t>1）簡略計算法①（面積比率法）による部位熱貫流率-4</t>
    <rPh sb="2" eb="4">
      <t>カンリャク</t>
    </rPh>
    <rPh sb="4" eb="7">
      <t>ケイサンホウ</t>
    </rPh>
    <rPh sb="18" eb="20">
      <t>ブイ</t>
    </rPh>
    <rPh sb="20" eb="21">
      <t>ネツ</t>
    </rPh>
    <rPh sb="21" eb="23">
      <t>カンリュウ</t>
    </rPh>
    <rPh sb="23" eb="24">
      <t>リツ</t>
    </rPh>
    <phoneticPr fontId="2"/>
  </si>
  <si>
    <t>1）簡略計算法①（面積比率法）による部位熱貫流率-5</t>
    <rPh sb="2" eb="4">
      <t>カンリャク</t>
    </rPh>
    <rPh sb="4" eb="7">
      <t>ケイサンホウ</t>
    </rPh>
    <rPh sb="18" eb="20">
      <t>ブイ</t>
    </rPh>
    <rPh sb="20" eb="21">
      <t>ネツ</t>
    </rPh>
    <rPh sb="21" eb="23">
      <t>カンリュウ</t>
    </rPh>
    <rPh sb="23" eb="24">
      <t>リツ</t>
    </rPh>
    <phoneticPr fontId="2"/>
  </si>
  <si>
    <t>1）簡略計算法①（面積比率法）による部位熱貫流率-6</t>
    <rPh sb="2" eb="4">
      <t>カンリャク</t>
    </rPh>
    <rPh sb="4" eb="7">
      <t>ケイサンホウ</t>
    </rPh>
    <rPh sb="18" eb="20">
      <t>ブイ</t>
    </rPh>
    <rPh sb="20" eb="21">
      <t>ネツ</t>
    </rPh>
    <rPh sb="21" eb="23">
      <t>カンリュウ</t>
    </rPh>
    <rPh sb="23" eb="24">
      <t>リツ</t>
    </rPh>
    <phoneticPr fontId="2"/>
  </si>
  <si>
    <t>1）簡略計算法①（面積比率法）による部位熱貫流率-7</t>
    <rPh sb="2" eb="4">
      <t>カンリャク</t>
    </rPh>
    <rPh sb="4" eb="7">
      <t>ケイサンホウ</t>
    </rPh>
    <rPh sb="18" eb="20">
      <t>ブイ</t>
    </rPh>
    <rPh sb="20" eb="21">
      <t>ネツ</t>
    </rPh>
    <rPh sb="21" eb="23">
      <t>カンリュウ</t>
    </rPh>
    <rPh sb="23" eb="24">
      <t>リツ</t>
    </rPh>
    <phoneticPr fontId="2"/>
  </si>
  <si>
    <t>（</t>
    <phoneticPr fontId="2"/>
  </si>
  <si>
    <t>）の実質熱貫流率　Ｗ/（㎡Ｋ）</t>
    <phoneticPr fontId="2"/>
  </si>
  <si>
    <t>ｄ/λ
㎡・Ｋ/Ｗ</t>
    <phoneticPr fontId="2"/>
  </si>
  <si>
    <t>熱伝達抵抗　Ｒsi</t>
    <rPh sb="0" eb="1">
      <t>ネツ</t>
    </rPh>
    <rPh sb="1" eb="3">
      <t>デンタツ</t>
    </rPh>
    <rPh sb="3" eb="5">
      <t>テイコウ</t>
    </rPh>
    <phoneticPr fontId="2"/>
  </si>
  <si>
    <t>－</t>
    <phoneticPr fontId="2"/>
  </si>
  <si>
    <t>熱伝達抵抗　Ｒse</t>
    <rPh sb="0" eb="1">
      <t>ネツ</t>
    </rPh>
    <rPh sb="1" eb="3">
      <t>デンタツ</t>
    </rPh>
    <rPh sb="3" eb="5">
      <t>テイコウ</t>
    </rPh>
    <phoneticPr fontId="2"/>
  </si>
  <si>
    <t>－</t>
    <phoneticPr fontId="2"/>
  </si>
  <si>
    <t>層構成に応じ、計算値を使用するか「0」を入力してください。</t>
    <rPh sb="0" eb="3">
      <t>ソウコウセイ</t>
    </rPh>
    <rPh sb="4" eb="5">
      <t>オウ</t>
    </rPh>
    <rPh sb="7" eb="10">
      <t>ケイサンチ</t>
    </rPh>
    <rPh sb="11" eb="13">
      <t>シヨウ</t>
    </rPh>
    <rPh sb="20" eb="22">
      <t>ニュウリョク</t>
    </rPh>
    <phoneticPr fontId="2"/>
  </si>
  <si>
    <t>【天井】　野縁上に敷き込む場合</t>
    <rPh sb="1" eb="3">
      <t>テンジョウ</t>
    </rPh>
    <rPh sb="5" eb="6">
      <t>ノ</t>
    </rPh>
    <rPh sb="6" eb="7">
      <t>フチ</t>
    </rPh>
    <rPh sb="7" eb="8">
      <t>ウエ</t>
    </rPh>
    <rPh sb="9" eb="10">
      <t>シ</t>
    </rPh>
    <rPh sb="11" eb="12">
      <t>コ</t>
    </rPh>
    <rPh sb="13" eb="15">
      <t>バアイ</t>
    </rPh>
    <phoneticPr fontId="2"/>
  </si>
  <si>
    <t>【天井】　桁・梁間に断熱する場合</t>
    <rPh sb="5" eb="6">
      <t>ケタ</t>
    </rPh>
    <rPh sb="7" eb="8">
      <t>ハリ</t>
    </rPh>
    <rPh sb="8" eb="9">
      <t>アイダ</t>
    </rPh>
    <rPh sb="10" eb="12">
      <t>ダンネツ</t>
    </rPh>
    <rPh sb="14" eb="16">
      <t>バアイ</t>
    </rPh>
    <phoneticPr fontId="2"/>
  </si>
  <si>
    <t>【屋根】　たる木間に断熱する場合</t>
    <rPh sb="1" eb="3">
      <t>ヤネ</t>
    </rPh>
    <rPh sb="7" eb="8">
      <t>キ</t>
    </rPh>
    <rPh sb="8" eb="9">
      <t>アイダ</t>
    </rPh>
    <rPh sb="10" eb="12">
      <t>ダンネツ</t>
    </rPh>
    <rPh sb="14" eb="16">
      <t>バアイ</t>
    </rPh>
    <phoneticPr fontId="2"/>
  </si>
  <si>
    <t>【屋根】　野縁上に敷き込む場合</t>
    <rPh sb="1" eb="3">
      <t>ヤネ</t>
    </rPh>
    <rPh sb="5" eb="6">
      <t>ノ</t>
    </rPh>
    <rPh sb="6" eb="7">
      <t>フチ</t>
    </rPh>
    <rPh sb="7" eb="8">
      <t>ウエ</t>
    </rPh>
    <rPh sb="9" eb="10">
      <t>シ</t>
    </rPh>
    <rPh sb="11" eb="12">
      <t>コ</t>
    </rPh>
    <rPh sb="13" eb="15">
      <t>バアイ</t>
    </rPh>
    <phoneticPr fontId="2"/>
  </si>
  <si>
    <t>【壁】　軸組：柱・間柱間に充填する場合</t>
    <rPh sb="1" eb="2">
      <t>カベ</t>
    </rPh>
    <phoneticPr fontId="2"/>
  </si>
  <si>
    <t>【壁】　枠組壁：たて枠間に充填する場合</t>
    <rPh sb="1" eb="2">
      <t>カベ</t>
    </rPh>
    <phoneticPr fontId="2"/>
  </si>
  <si>
    <t>【その他床】　軸組･枠組：大引間に充填(剛床工法)</t>
    <rPh sb="3" eb="4">
      <t>タ</t>
    </rPh>
    <rPh sb="4" eb="5">
      <t>ユカ</t>
    </rPh>
    <rPh sb="7" eb="9">
      <t>ジクグミ</t>
    </rPh>
    <rPh sb="10" eb="12">
      <t>ワクグミ</t>
    </rPh>
    <phoneticPr fontId="2"/>
  </si>
  <si>
    <t>【その他床】　軸組：根太間に断熱する場合</t>
    <rPh sb="7" eb="9">
      <t>ジクグミ</t>
    </rPh>
    <phoneticPr fontId="2"/>
  </si>
  <si>
    <t>【その他床】　軸組：床梁土台同面工法で根太間断熱</t>
    <rPh sb="7" eb="9">
      <t>ジクグミ</t>
    </rPh>
    <phoneticPr fontId="2"/>
  </si>
  <si>
    <t>【その他床】　枠組壁：根太間に断熱</t>
    <rPh sb="7" eb="9">
      <t>ワクグ</t>
    </rPh>
    <rPh sb="9" eb="10">
      <t>カベ</t>
    </rPh>
    <phoneticPr fontId="2"/>
  </si>
  <si>
    <t>天井の　熱伝達抵抗Rsi（室内側）：0.09</t>
    <rPh sb="0" eb="2">
      <t>テンジョウ</t>
    </rPh>
    <rPh sb="4" eb="5">
      <t>ネツ</t>
    </rPh>
    <rPh sb="5" eb="7">
      <t>デンタツ</t>
    </rPh>
    <rPh sb="7" eb="9">
      <t>テイコウ</t>
    </rPh>
    <rPh sb="13" eb="15">
      <t>シツナイ</t>
    </rPh>
    <rPh sb="15" eb="16">
      <t>ガワ</t>
    </rPh>
    <phoneticPr fontId="2"/>
  </si>
  <si>
    <t>天井の　熱伝達抵抗Rse（室外側）：0.09</t>
    <rPh sb="0" eb="2">
      <t>テンジョウ</t>
    </rPh>
    <rPh sb="4" eb="5">
      <t>ネツ</t>
    </rPh>
    <rPh sb="5" eb="7">
      <t>デンタツ</t>
    </rPh>
    <rPh sb="7" eb="9">
      <t>テイコウ</t>
    </rPh>
    <rPh sb="13" eb="15">
      <t>シツガイ</t>
    </rPh>
    <rPh sb="15" eb="16">
      <t>ガワ</t>
    </rPh>
    <phoneticPr fontId="2"/>
  </si>
  <si>
    <t>屋根の　熱伝達抵抗Rsi（室内側）：0.09</t>
    <rPh sb="0" eb="2">
      <t>ヤネ</t>
    </rPh>
    <rPh sb="4" eb="5">
      <t>ネツ</t>
    </rPh>
    <rPh sb="5" eb="7">
      <t>デンタツ</t>
    </rPh>
    <rPh sb="7" eb="9">
      <t>テイコウ</t>
    </rPh>
    <rPh sb="13" eb="15">
      <t>シツナイ</t>
    </rPh>
    <rPh sb="15" eb="16">
      <t>ガワ</t>
    </rPh>
    <phoneticPr fontId="2"/>
  </si>
  <si>
    <t>壁の　熱伝達抵抗Rsi（室内側）：0.11</t>
    <rPh sb="0" eb="1">
      <t>カベ</t>
    </rPh>
    <rPh sb="3" eb="4">
      <t>ネツ</t>
    </rPh>
    <rPh sb="4" eb="6">
      <t>デンタツ</t>
    </rPh>
    <rPh sb="6" eb="8">
      <t>テイコウ</t>
    </rPh>
    <rPh sb="12" eb="14">
      <t>シツナイ</t>
    </rPh>
    <rPh sb="14" eb="15">
      <t>ガワ</t>
    </rPh>
    <phoneticPr fontId="2"/>
  </si>
  <si>
    <t>床の　熱伝達抵抗Rsi（室内側）：0.15</t>
    <rPh sb="0" eb="1">
      <t>ユカ</t>
    </rPh>
    <rPh sb="3" eb="4">
      <t>ネツ</t>
    </rPh>
    <rPh sb="4" eb="6">
      <t>デンタツ</t>
    </rPh>
    <rPh sb="6" eb="8">
      <t>テイコウ</t>
    </rPh>
    <rPh sb="12" eb="14">
      <t>シツナイ</t>
    </rPh>
    <rPh sb="14" eb="15">
      <t>ガワ</t>
    </rPh>
    <phoneticPr fontId="2"/>
  </si>
  <si>
    <t>外気床の　熱伝達抵抗Rsi（室内側）：0.15</t>
    <rPh sb="0" eb="2">
      <t>ガイキ</t>
    </rPh>
    <rPh sb="2" eb="3">
      <t>ユカ</t>
    </rPh>
    <rPh sb="5" eb="6">
      <t>ネツ</t>
    </rPh>
    <rPh sb="6" eb="8">
      <t>デンタツ</t>
    </rPh>
    <rPh sb="8" eb="10">
      <t>テイコウ</t>
    </rPh>
    <rPh sb="14" eb="16">
      <t>シツナイ</t>
    </rPh>
    <rPh sb="16" eb="17">
      <t>ガワ</t>
    </rPh>
    <phoneticPr fontId="2"/>
  </si>
  <si>
    <t>屋根の　熱伝達抵抗Rse（室外側）：0.09</t>
    <rPh sb="0" eb="2">
      <t>ヤネ</t>
    </rPh>
    <rPh sb="4" eb="5">
      <t>ネツ</t>
    </rPh>
    <rPh sb="5" eb="7">
      <t>デンタツ</t>
    </rPh>
    <rPh sb="7" eb="9">
      <t>テイコウ</t>
    </rPh>
    <rPh sb="13" eb="15">
      <t>シツガイ</t>
    </rPh>
    <rPh sb="15" eb="16">
      <t>ガワ</t>
    </rPh>
    <phoneticPr fontId="2"/>
  </si>
  <si>
    <t>壁の　熱伝達抵抗Rse（室外側）：0.11</t>
    <rPh sb="0" eb="1">
      <t>カベ</t>
    </rPh>
    <rPh sb="3" eb="4">
      <t>ネツ</t>
    </rPh>
    <rPh sb="4" eb="6">
      <t>デンタツ</t>
    </rPh>
    <rPh sb="6" eb="8">
      <t>テイコウ</t>
    </rPh>
    <rPh sb="12" eb="14">
      <t>シツガイ</t>
    </rPh>
    <rPh sb="14" eb="15">
      <t>ガワ</t>
    </rPh>
    <phoneticPr fontId="2"/>
  </si>
  <si>
    <t>床の　熱伝達抵抗Rse（室外側）：0.15</t>
    <rPh sb="0" eb="1">
      <t>ユカ</t>
    </rPh>
    <rPh sb="3" eb="4">
      <t>ネツ</t>
    </rPh>
    <rPh sb="4" eb="6">
      <t>デンタツ</t>
    </rPh>
    <rPh sb="6" eb="8">
      <t>テイコウ</t>
    </rPh>
    <rPh sb="12" eb="14">
      <t>シツガイ</t>
    </rPh>
    <rPh sb="14" eb="15">
      <t>ガワ</t>
    </rPh>
    <phoneticPr fontId="2"/>
  </si>
  <si>
    <t>外気床の　熱伝達抵抗Rse（室外側）：0.04</t>
    <rPh sb="0" eb="2">
      <t>ガイキ</t>
    </rPh>
    <rPh sb="2" eb="3">
      <t>ユカ</t>
    </rPh>
    <rPh sb="5" eb="6">
      <t>ネツ</t>
    </rPh>
    <rPh sb="6" eb="8">
      <t>デンタツ</t>
    </rPh>
    <rPh sb="8" eb="10">
      <t>テイコウ</t>
    </rPh>
    <rPh sb="14" eb="16">
      <t>シツガイ</t>
    </rPh>
    <rPh sb="15" eb="16">
      <t>ガイ</t>
    </rPh>
    <rPh sb="16" eb="17">
      <t>ガワ</t>
    </rPh>
    <phoneticPr fontId="2"/>
  </si>
  <si>
    <t>（</t>
    <phoneticPr fontId="2"/>
  </si>
  <si>
    <t>）の実質熱貫流率　Ｗ/（㎡Ｋ）</t>
    <phoneticPr fontId="2"/>
  </si>
  <si>
    <t>ｄ/λ
㎡・Ｋ/Ｗ</t>
    <phoneticPr fontId="2"/>
  </si>
  <si>
    <t>－</t>
    <phoneticPr fontId="2"/>
  </si>
  <si>
    <t>屋根</t>
    <rPh sb="0" eb="2">
      <t>ヤネ</t>
    </rPh>
    <phoneticPr fontId="2"/>
  </si>
  <si>
    <t>アクリアジオス</t>
    <phoneticPr fontId="2"/>
  </si>
  <si>
    <t>アクリアジオス</t>
    <phoneticPr fontId="2"/>
  </si>
  <si>
    <t>壁</t>
    <rPh sb="0" eb="1">
      <t>カベ</t>
    </rPh>
    <phoneticPr fontId="2"/>
  </si>
  <si>
    <t>床</t>
    <rPh sb="0" eb="1">
      <t>ユカ</t>
    </rPh>
    <phoneticPr fontId="2"/>
  </si>
  <si>
    <t>【外接床】　軸組･枠組：大引間に充填(剛床工法)</t>
    <rPh sb="1" eb="3">
      <t>ガイセツ</t>
    </rPh>
    <rPh sb="3" eb="4">
      <t>ユカ</t>
    </rPh>
    <rPh sb="6" eb="8">
      <t>ジクグミ</t>
    </rPh>
    <rPh sb="9" eb="11">
      <t>ワクグミ</t>
    </rPh>
    <phoneticPr fontId="2"/>
  </si>
  <si>
    <t>【外接床】　軸組：根太間に断熱する場合</t>
    <rPh sb="1" eb="3">
      <t>ガイセツ</t>
    </rPh>
    <rPh sb="6" eb="8">
      <t>ジクグミ</t>
    </rPh>
    <phoneticPr fontId="2"/>
  </si>
  <si>
    <t>【外接床】　枠組壁：根太間に断熱</t>
    <rPh sb="1" eb="3">
      <t>ガイセツ</t>
    </rPh>
    <rPh sb="6" eb="8">
      <t>ワクグ</t>
    </rPh>
    <rPh sb="8" eb="9">
      <t>カベ</t>
    </rPh>
    <phoneticPr fontId="2"/>
  </si>
  <si>
    <t>外気に接する</t>
    <rPh sb="0" eb="2">
      <t>ガイキ</t>
    </rPh>
    <rPh sb="3" eb="4">
      <t>セッ</t>
    </rPh>
    <phoneticPr fontId="2"/>
  </si>
  <si>
    <t>壁：土間床基礎高さ400㎜を超える部分</t>
    <rPh sb="0" eb="1">
      <t>カベ</t>
    </rPh>
    <rPh sb="2" eb="4">
      <t>ドマ</t>
    </rPh>
    <rPh sb="4" eb="5">
      <t>ユカ</t>
    </rPh>
    <rPh sb="5" eb="7">
      <t>キソ</t>
    </rPh>
    <rPh sb="7" eb="8">
      <t>タカ</t>
    </rPh>
    <rPh sb="14" eb="15">
      <t>コ</t>
    </rPh>
    <rPh sb="17" eb="19">
      <t>ブブン</t>
    </rPh>
    <phoneticPr fontId="2"/>
  </si>
  <si>
    <t>壁：土間床基礎高さ400㎜を超える部分</t>
    <rPh sb="0" eb="1">
      <t>カベ</t>
    </rPh>
    <rPh sb="2" eb="5">
      <t>ドマユカ</t>
    </rPh>
    <rPh sb="5" eb="7">
      <t>キソ</t>
    </rPh>
    <rPh sb="7" eb="8">
      <t>タカ</t>
    </rPh>
    <rPh sb="14" eb="15">
      <t>コ</t>
    </rPh>
    <rPh sb="17" eb="19">
      <t>ブブン</t>
    </rPh>
    <phoneticPr fontId="2"/>
  </si>
  <si>
    <r>
      <t>（床下側外周）</t>
    </r>
    <r>
      <rPr>
        <b/>
        <sz val="14"/>
        <rFont val="HG丸ｺﾞｼｯｸM-PRO"/>
        <family val="3"/>
        <charset val="128"/>
      </rPr>
      <t>玄関土間床基礎立上り</t>
    </r>
    <rPh sb="1" eb="3">
      <t>ユカシタ</t>
    </rPh>
    <rPh sb="3" eb="4">
      <t>ガワ</t>
    </rPh>
    <rPh sb="4" eb="6">
      <t>ガイシュウ</t>
    </rPh>
    <rPh sb="7" eb="9">
      <t>ゲンカン</t>
    </rPh>
    <rPh sb="9" eb="11">
      <t>ドマ</t>
    </rPh>
    <rPh sb="11" eb="12">
      <t>ユカ</t>
    </rPh>
    <rPh sb="12" eb="14">
      <t>キソ</t>
    </rPh>
    <rPh sb="14" eb="16">
      <t>タチアガ</t>
    </rPh>
    <phoneticPr fontId="2"/>
  </si>
  <si>
    <r>
      <t>（外気外周側)</t>
    </r>
    <r>
      <rPr>
        <b/>
        <sz val="12"/>
        <rFont val="HG丸ｺﾞｼｯｸM-PRO"/>
        <family val="3"/>
        <charset val="128"/>
      </rPr>
      <t>ユニットバス土間床基礎立上り</t>
    </r>
    <rPh sb="1" eb="3">
      <t>ガイキ</t>
    </rPh>
    <rPh sb="3" eb="5">
      <t>ガイシュウ</t>
    </rPh>
    <rPh sb="5" eb="6">
      <t>ガワ</t>
    </rPh>
    <rPh sb="13" eb="15">
      <t>ドマ</t>
    </rPh>
    <rPh sb="15" eb="16">
      <t>ユカ</t>
    </rPh>
    <rPh sb="16" eb="18">
      <t>キソ</t>
    </rPh>
    <rPh sb="18" eb="20">
      <t>タチアガ</t>
    </rPh>
    <phoneticPr fontId="2"/>
  </si>
  <si>
    <r>
      <t>（床下側外周）</t>
    </r>
    <r>
      <rPr>
        <b/>
        <sz val="12"/>
        <rFont val="HG丸ｺﾞｼｯｸM-PRO"/>
        <family val="3"/>
        <charset val="128"/>
      </rPr>
      <t>ユニットバス土間床基礎立上り</t>
    </r>
    <rPh sb="1" eb="3">
      <t>ユカシタ</t>
    </rPh>
    <rPh sb="3" eb="4">
      <t>ガワ</t>
    </rPh>
    <rPh sb="4" eb="6">
      <t>ガイシュウ</t>
    </rPh>
    <rPh sb="13" eb="15">
      <t>ドマ</t>
    </rPh>
    <rPh sb="15" eb="16">
      <t>ユカ</t>
    </rPh>
    <rPh sb="16" eb="18">
      <t>キソ</t>
    </rPh>
    <rPh sb="18" eb="20">
      <t>タチアガ</t>
    </rPh>
    <phoneticPr fontId="2"/>
  </si>
  <si>
    <t>コンクリート</t>
    <phoneticPr fontId="2"/>
  </si>
  <si>
    <t>－</t>
    <phoneticPr fontId="2"/>
  </si>
  <si>
    <t>天井</t>
    <rPh sb="0" eb="2">
      <t>テンジョウ</t>
    </rPh>
    <phoneticPr fontId="2"/>
  </si>
  <si>
    <t>更新履歴</t>
    <rPh sb="0" eb="2">
      <t>コウシン</t>
    </rPh>
    <rPh sb="2" eb="4">
      <t>リレキ</t>
    </rPh>
    <phoneticPr fontId="2"/>
  </si>
  <si>
    <t>評価協会作成のエクセルでは部位U計算シートが削除となっているが、追加した。</t>
    <rPh sb="0" eb="2">
      <t>ヒョウカ</t>
    </rPh>
    <rPh sb="2" eb="4">
      <t>キョウカイ</t>
    </rPh>
    <rPh sb="4" eb="6">
      <t>サクセイ</t>
    </rPh>
    <rPh sb="13" eb="15">
      <t>ブイ</t>
    </rPh>
    <rPh sb="16" eb="18">
      <t>ケイサン</t>
    </rPh>
    <rPh sb="22" eb="24">
      <t>サクジョ</t>
    </rPh>
    <rPh sb="32" eb="34">
      <t>ツイカ</t>
    </rPh>
    <phoneticPr fontId="2"/>
  </si>
  <si>
    <t>プルダウンメニューの入力規制を変更。</t>
    <rPh sb="10" eb="12">
      <t>ニュウリョク</t>
    </rPh>
    <rPh sb="12" eb="14">
      <t>キセイ</t>
    </rPh>
    <rPh sb="15" eb="17">
      <t>ヘンコウ</t>
    </rPh>
    <phoneticPr fontId="2"/>
  </si>
  <si>
    <t>土間床基礎立上りが401を超えた時の外気側外周と床下側外周のU値計算シートを分けた。</t>
    <rPh sb="0" eb="2">
      <t>ドマ</t>
    </rPh>
    <rPh sb="2" eb="3">
      <t>ユカ</t>
    </rPh>
    <rPh sb="3" eb="5">
      <t>キソ</t>
    </rPh>
    <rPh sb="5" eb="7">
      <t>タチアガ</t>
    </rPh>
    <rPh sb="13" eb="14">
      <t>コ</t>
    </rPh>
    <rPh sb="16" eb="17">
      <t>トキ</t>
    </rPh>
    <rPh sb="18" eb="20">
      <t>ガイキ</t>
    </rPh>
    <rPh sb="20" eb="21">
      <t>ガワ</t>
    </rPh>
    <rPh sb="21" eb="23">
      <t>ガイシュウ</t>
    </rPh>
    <rPh sb="24" eb="26">
      <t>ユカシタ</t>
    </rPh>
    <rPh sb="26" eb="27">
      <t>ガワ</t>
    </rPh>
    <rPh sb="27" eb="29">
      <t>ガイシュウ</t>
    </rPh>
    <rPh sb="31" eb="32">
      <t>チ</t>
    </rPh>
    <rPh sb="32" eb="34">
      <t>ケイサン</t>
    </rPh>
    <rPh sb="38" eb="39">
      <t>ワ</t>
    </rPh>
    <phoneticPr fontId="2"/>
  </si>
  <si>
    <t>その他床と外気に接する床の部位U計算で、断熱材厚が大引より厚い場合には、大引厚と同じ厚さを入力するようにコメントを追加した。</t>
    <rPh sb="2" eb="4">
      <t>タユカ</t>
    </rPh>
    <rPh sb="5" eb="7">
      <t>ガイキ</t>
    </rPh>
    <rPh sb="8" eb="9">
      <t>セッ</t>
    </rPh>
    <rPh sb="11" eb="12">
      <t>ユカ</t>
    </rPh>
    <rPh sb="13" eb="15">
      <t>ブイ</t>
    </rPh>
    <rPh sb="16" eb="18">
      <t>ケイサン</t>
    </rPh>
    <rPh sb="20" eb="23">
      <t>ダンネツザイ</t>
    </rPh>
    <rPh sb="23" eb="24">
      <t>アツ</t>
    </rPh>
    <rPh sb="25" eb="27">
      <t>オオビ</t>
    </rPh>
    <rPh sb="29" eb="30">
      <t>アツ</t>
    </rPh>
    <rPh sb="31" eb="33">
      <t>バアイ</t>
    </rPh>
    <rPh sb="36" eb="38">
      <t>オオヒキ</t>
    </rPh>
    <rPh sb="38" eb="39">
      <t>アツ</t>
    </rPh>
    <rPh sb="40" eb="41">
      <t>オナ</t>
    </rPh>
    <rPh sb="42" eb="43">
      <t>アツ</t>
    </rPh>
    <rPh sb="45" eb="47">
      <t>ニュウリョク</t>
    </rPh>
    <rPh sb="57" eb="59">
      <t>ツイカ</t>
    </rPh>
    <phoneticPr fontId="2"/>
  </si>
  <si>
    <t>「部位U計算」シートを変更</t>
    <rPh sb="1" eb="3">
      <t>ブイ</t>
    </rPh>
    <rPh sb="4" eb="6">
      <t>ケイサン</t>
    </rPh>
    <rPh sb="11" eb="13">
      <t>ヘンコウ</t>
    </rPh>
    <phoneticPr fontId="2"/>
  </si>
  <si>
    <t>マットエース10K</t>
    <phoneticPr fontId="2"/>
  </si>
  <si>
    <t>マットエース10K</t>
    <phoneticPr fontId="2"/>
  </si>
  <si>
    <t>マットエース24K</t>
    <phoneticPr fontId="2"/>
  </si>
  <si>
    <t>マットエースHG16K</t>
    <phoneticPr fontId="2"/>
  </si>
  <si>
    <t>アクリアマット10K100の熱伝導率を0.047から0.043に変更</t>
    <rPh sb="14" eb="15">
      <t>ネツ</t>
    </rPh>
    <rPh sb="15" eb="18">
      <t>デンドウリツ</t>
    </rPh>
    <rPh sb="32" eb="34">
      <t>ヘンコウ</t>
    </rPh>
    <phoneticPr fontId="2"/>
  </si>
  <si>
    <t>1）簡略計算法①（面積比率法）による部位熱貫流率-8</t>
    <rPh sb="2" eb="4">
      <t>カンリャク</t>
    </rPh>
    <rPh sb="4" eb="7">
      <t>ケイサンホウ</t>
    </rPh>
    <rPh sb="18" eb="20">
      <t>ブイ</t>
    </rPh>
    <rPh sb="20" eb="21">
      <t>ネツ</t>
    </rPh>
    <rPh sb="21" eb="23">
      <t>カンリュウ</t>
    </rPh>
    <rPh sb="23" eb="24">
      <t>リツ</t>
    </rPh>
    <phoneticPr fontId="2"/>
  </si>
  <si>
    <t>1）簡略計算法①（面積比率法）による部位熱貫流率-9</t>
    <rPh sb="2" eb="4">
      <t>カンリャク</t>
    </rPh>
    <rPh sb="4" eb="7">
      <t>ケイサンホウ</t>
    </rPh>
    <rPh sb="18" eb="20">
      <t>ブイ</t>
    </rPh>
    <rPh sb="20" eb="21">
      <t>ネツ</t>
    </rPh>
    <rPh sb="21" eb="23">
      <t>カンリュウ</t>
    </rPh>
    <rPh sb="23" eb="24">
      <t>リツ</t>
    </rPh>
    <phoneticPr fontId="2"/>
  </si>
  <si>
    <t>外側面材</t>
    <rPh sb="0" eb="2">
      <t>ソトガワ</t>
    </rPh>
    <rPh sb="2" eb="4">
      <t>メンザイ</t>
    </rPh>
    <phoneticPr fontId="2"/>
  </si>
  <si>
    <t>柱</t>
    <rPh sb="0" eb="1">
      <t>ハシラ</t>
    </rPh>
    <phoneticPr fontId="2"/>
  </si>
  <si>
    <t>－</t>
    <phoneticPr fontId="2"/>
  </si>
  <si>
    <t>「DATAシート」に「アクリアR57」を追加</t>
    <rPh sb="20" eb="22">
      <t>ツイカ</t>
    </rPh>
    <phoneticPr fontId="2"/>
  </si>
  <si>
    <t>アクリアR57</t>
    <phoneticPr fontId="2"/>
  </si>
  <si>
    <r>
      <t>（外気外周側）</t>
    </r>
    <r>
      <rPr>
        <b/>
        <sz val="14"/>
        <rFont val="HG丸ｺﾞｼｯｸM-PRO"/>
        <family val="3"/>
        <charset val="128"/>
      </rPr>
      <t>玄関土間床基礎立上り</t>
    </r>
    <rPh sb="1" eb="2">
      <t>ソト</t>
    </rPh>
    <rPh sb="2" eb="3">
      <t>キ</t>
    </rPh>
    <rPh sb="3" eb="5">
      <t>ガイシュウ</t>
    </rPh>
    <rPh sb="5" eb="6">
      <t>ガワ</t>
    </rPh>
    <rPh sb="7" eb="9">
      <t>ゲンカン</t>
    </rPh>
    <rPh sb="9" eb="11">
      <t>ドマ</t>
    </rPh>
    <rPh sb="11" eb="12">
      <t>ユカ</t>
    </rPh>
    <rPh sb="12" eb="14">
      <t>キソ</t>
    </rPh>
    <rPh sb="14" eb="16">
      <t>タチアガ</t>
    </rPh>
    <phoneticPr fontId="2"/>
  </si>
  <si>
    <t>熱伝達抵抗　Ｒse（外気）</t>
    <rPh sb="0" eb="1">
      <t>ネツ</t>
    </rPh>
    <rPh sb="1" eb="3">
      <t>デンタツ</t>
    </rPh>
    <rPh sb="3" eb="5">
      <t>テイコウ</t>
    </rPh>
    <rPh sb="10" eb="12">
      <t>ガイキ</t>
    </rPh>
    <phoneticPr fontId="2"/>
  </si>
  <si>
    <t>熱伝達抵抗　Ｒse（その他）</t>
    <rPh sb="0" eb="1">
      <t>ネツ</t>
    </rPh>
    <rPh sb="1" eb="3">
      <t>デンタツ</t>
    </rPh>
    <rPh sb="3" eb="5">
      <t>テイコウ</t>
    </rPh>
    <rPh sb="12" eb="13">
      <t>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</si>
</sst>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
    <numFmt numFmtId="177" formatCode="0.000_ "/>
    <numFmt numFmtId="178" formatCode="0.00_ "/>
    <numFmt numFmtId="179" formatCode="0.0_ "/>
    <numFmt numFmtId="180" formatCode="0.00;_퐀"/>
    <numFmt numFmtId="181" formatCode="0.000"/>
    <numFmt numFmtId="182" formatCode="0_ "/>
    <numFmt numFmtId="183" formatCode="0.0000_ "/>
    <numFmt numFmtId="184" formatCode="#,##0.000_ ;[Red]\-#,##0.000\ "/>
  </numFmts>
  <fonts count="44">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HG丸ｺﾞｼｯｸM-PRO"/>
      <family val="3"/>
      <charset val="128"/>
    </font>
    <font>
      <b/>
      <sz val="11"/>
      <name val="HG丸ｺﾞｼｯｸM-PRO"/>
      <family val="3"/>
      <charset val="128"/>
    </font>
    <font>
      <sz val="12"/>
      <name val="HG丸ｺﾞｼｯｸM-PRO"/>
      <family val="3"/>
      <charset val="128"/>
    </font>
    <font>
      <sz val="10"/>
      <name val="HG丸ｺﾞｼｯｸM-PRO"/>
      <family val="3"/>
      <charset val="128"/>
    </font>
    <font>
      <sz val="11"/>
      <name val="HG丸ｺﾞｼｯｸM-PRO"/>
      <family val="3"/>
      <charset val="128"/>
    </font>
    <font>
      <sz val="9"/>
      <name val="ＭＳ Ｐゴシック"/>
      <family val="3"/>
      <charset val="128"/>
    </font>
    <font>
      <sz val="14"/>
      <name val="HG丸ｺﾞｼｯｸM-PRO"/>
      <family val="3"/>
      <charset val="128"/>
    </font>
    <font>
      <sz val="10"/>
      <name val="ＭＳ 明朝"/>
      <family val="1"/>
      <charset val="128"/>
    </font>
    <font>
      <b/>
      <sz val="14"/>
      <name val="HG丸ｺﾞｼｯｸM-PRO"/>
      <family val="3"/>
      <charset val="128"/>
    </font>
    <font>
      <sz val="9.5"/>
      <name val="ＭＳ Ｐゴシック"/>
      <family val="3"/>
      <charset val="128"/>
    </font>
    <font>
      <vertAlign val="subscript"/>
      <sz val="10"/>
      <name val="ＭＳ Ｐゴシック"/>
      <family val="3"/>
      <charset val="128"/>
    </font>
    <font>
      <sz val="9"/>
      <color indexed="81"/>
      <name val="ＭＳ Ｐゴシック"/>
      <family val="3"/>
      <charset val="128"/>
    </font>
    <font>
      <sz val="12"/>
      <color rgb="FFFF0000"/>
      <name val="HG丸ｺﾞｼｯｸM-PRO"/>
      <family val="3"/>
      <charset val="128"/>
    </font>
    <font>
      <sz val="10"/>
      <name val="ＭＳ Ｐゴシック"/>
      <family val="3"/>
      <charset val="128"/>
      <scheme val="major"/>
    </font>
    <font>
      <sz val="10"/>
      <name val="ＭＳ Ｐゴシック"/>
      <family val="3"/>
      <charset val="128"/>
      <scheme val="minor"/>
    </font>
    <font>
      <sz val="11"/>
      <name val="ＭＳ Ｐゴシック"/>
      <family val="3"/>
      <charset val="128"/>
      <scheme val="minor"/>
    </font>
    <font>
      <sz val="11"/>
      <name val="ＭＳ ゴシック"/>
      <family val="3"/>
      <charset val="128"/>
    </font>
    <font>
      <sz val="10.5"/>
      <name val="ＭＳ ゴシック"/>
      <family val="3"/>
      <charset val="128"/>
    </font>
    <font>
      <sz val="11"/>
      <color theme="1"/>
      <name val="ＭＳ ゴシック"/>
      <family val="3"/>
      <charset val="128"/>
    </font>
    <font>
      <sz val="10.5"/>
      <color theme="1"/>
      <name val="ＭＳ ゴシック"/>
      <family val="3"/>
      <charset val="128"/>
    </font>
    <font>
      <sz val="10"/>
      <color theme="1"/>
      <name val="ＭＳ Ｐゴシック"/>
      <family val="3"/>
      <charset val="128"/>
    </font>
    <font>
      <sz val="11"/>
      <color theme="1"/>
      <name val="ＭＳ Ｐゴシック"/>
      <family val="3"/>
      <charset val="128"/>
    </font>
    <font>
      <b/>
      <sz val="11"/>
      <name val="HGP創英角ｺﾞｼｯｸUB"/>
      <family val="3"/>
      <charset val="128"/>
    </font>
    <font>
      <b/>
      <sz val="14"/>
      <name val="ＭＳ ゴシック"/>
      <family val="3"/>
      <charset val="128"/>
    </font>
    <font>
      <sz val="14"/>
      <name val="HGS創英角ｺﾞｼｯｸUB"/>
      <family val="3"/>
      <charset val="128"/>
    </font>
    <font>
      <sz val="10"/>
      <color theme="0"/>
      <name val="ＭＳ Ｐゴシック"/>
      <family val="3"/>
      <charset val="128"/>
      <scheme val="minor"/>
    </font>
    <font>
      <b/>
      <sz val="10"/>
      <name val="HG丸ｺﾞｼｯｸM-PRO"/>
      <family val="3"/>
      <charset val="128"/>
    </font>
    <font>
      <sz val="9"/>
      <color rgb="FFFF0000"/>
      <name val="ＭＳ Ｐゴシック"/>
      <family val="3"/>
      <charset val="128"/>
      <scheme val="minor"/>
    </font>
    <font>
      <sz val="8"/>
      <name val="HG丸ｺﾞｼｯｸM-PRO"/>
      <family val="3"/>
      <charset val="128"/>
    </font>
    <font>
      <b/>
      <sz val="9"/>
      <color rgb="FFFF0000"/>
      <name val="ＭＳ Ｐゴシック"/>
      <family val="3"/>
      <charset val="128"/>
      <scheme val="minor"/>
    </font>
    <font>
      <sz val="10"/>
      <color rgb="FFFF0000"/>
      <name val="ＭＳ Ｐゴシック"/>
      <family val="3"/>
      <charset val="128"/>
      <scheme val="minor"/>
    </font>
    <font>
      <b/>
      <sz val="9"/>
      <color indexed="81"/>
      <name val="ＭＳ Ｐゴシック"/>
      <family val="3"/>
      <charset val="128"/>
    </font>
    <font>
      <b/>
      <sz val="11"/>
      <color rgb="FFFF0000"/>
      <name val="ＭＳ Ｐゴシック"/>
      <family val="3"/>
      <charset val="128"/>
    </font>
    <font>
      <sz val="11"/>
      <color rgb="FFFF0000"/>
      <name val="ＭＳ Ｐ明朝"/>
      <family val="1"/>
      <charset val="128"/>
    </font>
    <font>
      <sz val="11"/>
      <name val="ＭＳ Ｐ明朝"/>
      <family val="1"/>
      <charset val="128"/>
    </font>
    <font>
      <b/>
      <sz val="12"/>
      <name val="ＭＳ Ｐ明朝"/>
      <family val="1"/>
      <charset val="128"/>
    </font>
    <font>
      <vertAlign val="superscript"/>
      <sz val="11"/>
      <name val="ＭＳ Ｐ明朝"/>
      <family val="1"/>
      <charset val="128"/>
    </font>
    <font>
      <sz val="9"/>
      <name val="ＭＳ Ｐ明朝"/>
      <family val="1"/>
      <charset val="128"/>
    </font>
    <font>
      <b/>
      <sz val="16"/>
      <name val="HG丸ｺﾞｼｯｸM-PRO"/>
      <family val="3"/>
      <charset val="128"/>
    </font>
    <font>
      <b/>
      <sz val="10"/>
      <name val="HGｺﾞｼｯｸM"/>
      <family val="3"/>
      <charset val="128"/>
    </font>
  </fonts>
  <fills count="8">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66"/>
        <bgColor indexed="64"/>
      </patternFill>
    </fill>
    <fill>
      <patternFill patternType="solid">
        <fgColor rgb="FFFFFFCC"/>
        <bgColor indexed="64"/>
      </patternFill>
    </fill>
    <fill>
      <patternFill patternType="solid">
        <fgColor theme="1"/>
        <bgColor indexed="64"/>
      </patternFill>
    </fill>
    <fill>
      <patternFill patternType="solid">
        <fgColor rgb="FFFFC000"/>
        <bgColor indexed="64"/>
      </patternFill>
    </fill>
  </fills>
  <borders count="133">
    <border>
      <left/>
      <right/>
      <top/>
      <bottom/>
      <diagonal/>
    </border>
    <border>
      <left/>
      <right/>
      <top/>
      <bottom style="hair">
        <color indexed="64"/>
      </bottom>
      <diagonal/>
    </border>
    <border>
      <left style="hair">
        <color indexed="64"/>
      </left>
      <right/>
      <top/>
      <bottom/>
      <diagonal/>
    </border>
    <border>
      <left/>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medium">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hair">
        <color indexed="64"/>
      </right>
      <top style="thin">
        <color indexed="64"/>
      </top>
      <bottom/>
      <diagonal/>
    </border>
    <border>
      <left/>
      <right style="hair">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hair">
        <color indexed="64"/>
      </top>
      <bottom style="hair">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3">
    <xf numFmtId="0" fontId="0" fillId="0" borderId="0"/>
    <xf numFmtId="38" fontId="1" fillId="0" borderId="0" applyFont="0" applyFill="0" applyBorder="0" applyAlignment="0" applyProtection="0"/>
    <xf numFmtId="0" fontId="11" fillId="0" borderId="0"/>
  </cellStyleXfs>
  <cellXfs count="683">
    <xf numFmtId="0" fontId="0" fillId="0" borderId="0" xfId="0"/>
    <xf numFmtId="0" fontId="0" fillId="0" borderId="0" xfId="0" applyAlignment="1">
      <alignment vertical="center"/>
    </xf>
    <xf numFmtId="0" fontId="3" fillId="0" borderId="0" xfId="0" applyFont="1" applyAlignment="1">
      <alignment vertical="center"/>
    </xf>
    <xf numFmtId="0" fontId="3" fillId="0" borderId="0" xfId="0" applyFont="1"/>
    <xf numFmtId="0" fontId="8"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9" fillId="0" borderId="6" xfId="0" applyFont="1" applyBorder="1" applyAlignment="1">
      <alignment horizontal="right" vertical="center"/>
    </xf>
    <xf numFmtId="0" fontId="3" fillId="0" borderId="7" xfId="0" applyFont="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2" fontId="6" fillId="0" borderId="0" xfId="1" applyNumberFormat="1" applyFont="1" applyBorder="1" applyAlignment="1">
      <alignment horizontal="right" vertical="center"/>
    </xf>
    <xf numFmtId="0" fontId="9" fillId="0" borderId="0" xfId="0" applyFont="1" applyBorder="1" applyAlignment="1">
      <alignment horizontal="left" vertical="center"/>
    </xf>
    <xf numFmtId="2" fontId="0" fillId="0" borderId="0" xfId="1" applyNumberFormat="1" applyFont="1" applyBorder="1"/>
    <xf numFmtId="0" fontId="3" fillId="2" borderId="13" xfId="0" applyFont="1" applyFill="1" applyBorder="1" applyAlignment="1">
      <alignment vertical="center"/>
    </xf>
    <xf numFmtId="0" fontId="3" fillId="2" borderId="14" xfId="0" applyFont="1" applyFill="1" applyBorder="1" applyAlignment="1">
      <alignment vertical="center"/>
    </xf>
    <xf numFmtId="2" fontId="8" fillId="0" borderId="0" xfId="0" applyNumberFormat="1" applyFont="1" applyAlignment="1">
      <alignment horizontal="center" vertical="center"/>
    </xf>
    <xf numFmtId="0" fontId="0" fillId="0" borderId="0" xfId="0" applyBorder="1"/>
    <xf numFmtId="0" fontId="3" fillId="0" borderId="0" xfId="0" applyFont="1" applyAlignment="1">
      <alignment horizontal="center"/>
    </xf>
    <xf numFmtId="0" fontId="3" fillId="0" borderId="0" xfId="0" applyFont="1" applyAlignment="1" applyProtection="1">
      <alignment horizontal="center" vertical="center"/>
    </xf>
    <xf numFmtId="0" fontId="3" fillId="0" borderId="0" xfId="0" applyFont="1" applyAlignment="1" applyProtection="1">
      <alignment vertical="center"/>
    </xf>
    <xf numFmtId="0" fontId="3" fillId="0" borderId="0" xfId="0" applyFont="1" applyBorder="1" applyAlignment="1">
      <alignment vertical="center" shrinkToFit="1"/>
    </xf>
    <xf numFmtId="0" fontId="3" fillId="0" borderId="29" xfId="0" applyFont="1" applyBorder="1" applyAlignment="1">
      <alignment vertical="center" shrinkToFit="1"/>
    </xf>
    <xf numFmtId="0" fontId="3" fillId="0" borderId="29" xfId="0" applyFont="1" applyBorder="1" applyAlignment="1">
      <alignment vertical="center" wrapText="1"/>
    </xf>
    <xf numFmtId="0" fontId="3" fillId="0" borderId="0" xfId="0" applyFont="1" applyBorder="1" applyAlignment="1">
      <alignment vertical="center" wrapText="1"/>
    </xf>
    <xf numFmtId="179" fontId="3" fillId="0" borderId="0" xfId="0" applyNumberFormat="1" applyFont="1" applyAlignment="1" applyProtection="1">
      <alignment vertical="center"/>
    </xf>
    <xf numFmtId="179" fontId="3" fillId="0" borderId="0" xfId="0" applyNumberFormat="1" applyFont="1" applyAlignment="1"/>
    <xf numFmtId="0" fontId="3" fillId="0" borderId="0" xfId="0" applyFont="1" applyFill="1" applyBorder="1" applyAlignment="1">
      <alignment horizontal="center" vertical="center"/>
    </xf>
    <xf numFmtId="2" fontId="6" fillId="0" borderId="0" xfId="0" applyNumberFormat="1" applyFont="1" applyAlignment="1">
      <alignment horizontal="center" vertical="center"/>
    </xf>
    <xf numFmtId="0" fontId="0" fillId="0" borderId="0" xfId="0" applyFill="1" applyAlignment="1">
      <alignment vertical="center"/>
    </xf>
    <xf numFmtId="0" fontId="3" fillId="0" borderId="0" xfId="0" applyFont="1" applyFill="1" applyAlignment="1">
      <alignment vertical="center"/>
    </xf>
    <xf numFmtId="0" fontId="8"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pplyProtection="1">
      <alignment vertical="center"/>
      <protection locked="0"/>
    </xf>
    <xf numFmtId="0" fontId="3" fillId="0" borderId="0" xfId="0" applyFont="1" applyFill="1" applyBorder="1" applyAlignment="1">
      <alignment vertical="center"/>
    </xf>
    <xf numFmtId="0" fontId="3" fillId="0" borderId="5" xfId="0" applyFont="1" applyFill="1" applyBorder="1" applyAlignment="1" applyProtection="1">
      <alignment vertical="center"/>
    </xf>
    <xf numFmtId="0" fontId="9" fillId="0" borderId="6" xfId="0" applyFont="1" applyFill="1" applyBorder="1" applyAlignment="1" applyProtection="1">
      <alignment horizontal="right" vertical="center"/>
    </xf>
    <xf numFmtId="0" fontId="9" fillId="0" borderId="5" xfId="0" applyFont="1" applyFill="1" applyBorder="1" applyAlignment="1" applyProtection="1">
      <alignment vertical="center"/>
    </xf>
    <xf numFmtId="0" fontId="9" fillId="0" borderId="15"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19"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13" xfId="0" applyFont="1" applyFill="1" applyBorder="1" applyAlignment="1" applyProtection="1">
      <alignment vertical="center"/>
    </xf>
    <xf numFmtId="0" fontId="3" fillId="0" borderId="30" xfId="0" applyFont="1" applyFill="1" applyBorder="1" applyAlignment="1" applyProtection="1">
      <alignment vertical="center"/>
    </xf>
    <xf numFmtId="0" fontId="3" fillId="0" borderId="0" xfId="0" applyFont="1" applyFill="1"/>
    <xf numFmtId="0" fontId="0" fillId="0" borderId="0" xfId="0" applyFill="1"/>
    <xf numFmtId="0" fontId="3" fillId="0" borderId="29" xfId="0" applyFont="1" applyFill="1" applyBorder="1" applyAlignment="1">
      <alignment vertical="center"/>
    </xf>
    <xf numFmtId="0" fontId="3" fillId="0" borderId="29" xfId="0" applyFont="1" applyFill="1" applyBorder="1" applyAlignment="1">
      <alignment horizontal="center" vertical="center"/>
    </xf>
    <xf numFmtId="0" fontId="8" fillId="0" borderId="29" xfId="0" applyFont="1" applyFill="1" applyBorder="1" applyAlignment="1">
      <alignment vertical="center"/>
    </xf>
    <xf numFmtId="0" fontId="8" fillId="0" borderId="0" xfId="0" applyFont="1" applyFill="1" applyBorder="1" applyAlignment="1">
      <alignment vertical="center"/>
    </xf>
    <xf numFmtId="0" fontId="0" fillId="0" borderId="0" xfId="0" applyAlignment="1">
      <alignment horizontal="center" vertical="center"/>
    </xf>
    <xf numFmtId="0" fontId="0" fillId="0" borderId="18" xfId="0" applyBorder="1" applyAlignment="1">
      <alignment horizontal="center" vertical="center"/>
    </xf>
    <xf numFmtId="176" fontId="0" fillId="0" borderId="18" xfId="0" applyNumberFormat="1" applyBorder="1" applyAlignment="1">
      <alignment horizontal="center" vertical="center"/>
    </xf>
    <xf numFmtId="0" fontId="6" fillId="0" borderId="0" xfId="1" applyNumberFormat="1" applyFont="1" applyFill="1" applyBorder="1" applyAlignment="1">
      <alignment vertical="center"/>
    </xf>
    <xf numFmtId="0" fontId="3" fillId="0" borderId="0" xfId="0" applyFont="1" applyAlignment="1">
      <alignment horizontal="center" vertical="center"/>
    </xf>
    <xf numFmtId="179" fontId="3" fillId="0" borderId="0" xfId="0" applyNumberFormat="1" applyFont="1" applyAlignment="1">
      <alignment horizontal="center" vertical="center"/>
    </xf>
    <xf numFmtId="0" fontId="3" fillId="3" borderId="51"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0" fontId="8" fillId="0" borderId="0" xfId="0" applyFont="1" applyBorder="1" applyAlignment="1">
      <alignment horizontal="center" vertical="center"/>
    </xf>
    <xf numFmtId="178" fontId="3" fillId="0" borderId="0" xfId="0" applyNumberFormat="1" applyFont="1" applyBorder="1" applyAlignment="1">
      <alignment horizontal="center" vertical="center"/>
    </xf>
    <xf numFmtId="0" fontId="8" fillId="0" borderId="0" xfId="0" applyFont="1" applyBorder="1" applyAlignment="1">
      <alignment vertical="center"/>
    </xf>
    <xf numFmtId="178" fontId="3" fillId="0" borderId="5" xfId="0" applyNumberFormat="1" applyFont="1" applyBorder="1" applyAlignment="1">
      <alignment vertical="center"/>
    </xf>
    <xf numFmtId="178" fontId="9" fillId="0" borderId="5" xfId="0" applyNumberFormat="1" applyFont="1" applyBorder="1" applyAlignment="1">
      <alignment vertical="center"/>
    </xf>
    <xf numFmtId="178" fontId="9" fillId="0" borderId="15" xfId="0" applyNumberFormat="1" applyFont="1" applyBorder="1" applyAlignment="1">
      <alignment vertical="center"/>
    </xf>
    <xf numFmtId="178" fontId="3" fillId="0" borderId="4" xfId="0" applyNumberFormat="1" applyFont="1" applyBorder="1" applyAlignment="1">
      <alignment vertical="center"/>
    </xf>
    <xf numFmtId="178" fontId="3" fillId="0" borderId="19" xfId="0" applyNumberFormat="1" applyFont="1" applyBorder="1" applyAlignment="1">
      <alignment vertical="center"/>
    </xf>
    <xf numFmtId="178" fontId="3" fillId="0" borderId="13" xfId="0" applyNumberFormat="1" applyFont="1" applyBorder="1" applyAlignment="1">
      <alignment vertical="center"/>
    </xf>
    <xf numFmtId="178" fontId="3" fillId="0" borderId="14" xfId="0" applyNumberFormat="1" applyFont="1" applyBorder="1" applyAlignment="1">
      <alignment vertical="center"/>
    </xf>
    <xf numFmtId="0" fontId="3" fillId="0" borderId="0" xfId="0" applyFont="1" applyAlignment="1" applyProtection="1">
      <alignment vertical="center"/>
      <protection locked="0"/>
    </xf>
    <xf numFmtId="0" fontId="3" fillId="0" borderId="18" xfId="0" applyFont="1" applyBorder="1" applyAlignment="1">
      <alignment vertical="center"/>
    </xf>
    <xf numFmtId="0" fontId="9" fillId="0" borderId="0" xfId="0" applyFont="1" applyFill="1" applyBorder="1" applyAlignment="1">
      <alignment vertical="center"/>
    </xf>
    <xf numFmtId="0" fontId="0" fillId="0" borderId="18" xfId="0" applyBorder="1" applyAlignment="1">
      <alignment horizontal="center" vertical="center"/>
    </xf>
    <xf numFmtId="0" fontId="3" fillId="0" borderId="18" xfId="0" applyFont="1" applyBorder="1" applyAlignment="1">
      <alignment horizontal="center" vertical="center"/>
    </xf>
    <xf numFmtId="0" fontId="9" fillId="0" borderId="6" xfId="0" applyFont="1" applyFill="1" applyBorder="1" applyAlignment="1">
      <alignment vertical="center"/>
    </xf>
    <xf numFmtId="0" fontId="1" fillId="2" borderId="6" xfId="1" applyNumberFormat="1" applyFont="1" applyFill="1" applyBorder="1" applyAlignment="1">
      <alignment horizontal="center" vertical="center"/>
    </xf>
    <xf numFmtId="0" fontId="1" fillId="2" borderId="17" xfId="1" applyNumberFormat="1" applyFont="1" applyFill="1" applyBorder="1" applyAlignment="1">
      <alignment horizontal="center" vertical="center"/>
    </xf>
    <xf numFmtId="14" fontId="0" fillId="0" borderId="0" xfId="0" applyNumberFormat="1"/>
    <xf numFmtId="0" fontId="20" fillId="0" borderId="0" xfId="0" applyFont="1" applyAlignment="1">
      <alignment wrapText="1"/>
    </xf>
    <xf numFmtId="0" fontId="21" fillId="0" borderId="0" xfId="0" applyFont="1" applyAlignment="1">
      <alignment horizontal="left" vertical="center" wrapText="1"/>
    </xf>
    <xf numFmtId="0" fontId="20" fillId="0" borderId="0" xfId="0" applyFont="1" applyAlignment="1">
      <alignment vertical="top" wrapText="1"/>
    </xf>
    <xf numFmtId="0" fontId="22" fillId="0" borderId="0" xfId="0" applyFont="1" applyFill="1" applyAlignment="1">
      <alignment vertical="top" wrapText="1"/>
    </xf>
    <xf numFmtId="0" fontId="23" fillId="0" borderId="0" xfId="0" applyFont="1" applyFill="1" applyAlignment="1">
      <alignment horizontal="left" vertical="center" wrapText="1"/>
    </xf>
    <xf numFmtId="0" fontId="24" fillId="0" borderId="0" xfId="0" quotePrefix="1" applyFont="1" applyFill="1" applyAlignment="1">
      <alignment horizontal="center"/>
    </xf>
    <xf numFmtId="0" fontId="24" fillId="0" borderId="0" xfId="0" applyFont="1" applyFill="1" applyAlignment="1">
      <alignment horizontal="center"/>
    </xf>
    <xf numFmtId="14" fontId="25" fillId="0" borderId="0" xfId="0" applyNumberFormat="1" applyFont="1" applyFill="1"/>
    <xf numFmtId="0" fontId="25"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pplyProtection="1">
      <alignment horizontal="center" vertical="center"/>
      <protection locked="0"/>
    </xf>
    <xf numFmtId="0" fontId="3" fillId="0" borderId="0" xfId="0" applyFont="1" applyFill="1" applyAlignment="1">
      <alignment horizontal="right" vertical="center"/>
    </xf>
    <xf numFmtId="0" fontId="0" fillId="0" borderId="18" xfId="0" applyBorder="1" applyAlignment="1">
      <alignment horizontal="center" vertical="center"/>
    </xf>
    <xf numFmtId="0" fontId="11" fillId="0" borderId="0" xfId="0" applyFont="1" applyAlignment="1">
      <alignment vertical="center"/>
    </xf>
    <xf numFmtId="0" fontId="26" fillId="0" borderId="0" xfId="0" applyFont="1" applyAlignment="1">
      <alignment horizontal="center" vertical="center"/>
    </xf>
    <xf numFmtId="0" fontId="27" fillId="0" borderId="0" xfId="0" applyFont="1" applyAlignment="1">
      <alignment horizontal="center" vertical="center"/>
    </xf>
    <xf numFmtId="0" fontId="28" fillId="0" borderId="0" xfId="0" applyFont="1" applyAlignment="1">
      <alignment vertical="center"/>
    </xf>
    <xf numFmtId="0" fontId="30" fillId="0" borderId="25" xfId="0" applyFont="1" applyBorder="1" applyAlignment="1">
      <alignment horizontal="right" vertical="center"/>
    </xf>
    <xf numFmtId="0" fontId="30" fillId="0" borderId="23" xfId="0" applyFont="1" applyBorder="1" applyAlignment="1">
      <alignment vertical="center"/>
    </xf>
    <xf numFmtId="0" fontId="30" fillId="0" borderId="24" xfId="0" applyFont="1" applyBorder="1" applyAlignment="1">
      <alignment vertical="center"/>
    </xf>
    <xf numFmtId="0" fontId="18" fillId="0" borderId="0" xfId="0" applyFont="1" applyAlignment="1">
      <alignment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vertical="center" wrapText="1"/>
    </xf>
    <xf numFmtId="0" fontId="18" fillId="0" borderId="18" xfId="0" applyFont="1" applyBorder="1" applyAlignment="1">
      <alignment vertical="center"/>
    </xf>
    <xf numFmtId="181" fontId="7" fillId="0" borderId="16" xfId="0" applyNumberFormat="1" applyFont="1" applyBorder="1" applyAlignment="1">
      <alignment horizontal="center" vertical="center"/>
    </xf>
    <xf numFmtId="2" fontId="18" fillId="0" borderId="18" xfId="0" applyNumberFormat="1" applyFont="1" applyBorder="1" applyAlignment="1">
      <alignment vertical="center"/>
    </xf>
    <xf numFmtId="182" fontId="18" fillId="0" borderId="120" xfId="0" applyNumberFormat="1" applyFont="1" applyBorder="1" applyAlignment="1">
      <alignment horizontal="center" vertical="center"/>
    </xf>
    <xf numFmtId="0" fontId="31" fillId="0" borderId="0" xfId="0" applyFont="1" applyAlignment="1">
      <alignment vertical="center"/>
    </xf>
    <xf numFmtId="181" fontId="7" fillId="0" borderId="21" xfId="0" applyNumberFormat="1" applyFont="1" applyBorder="1" applyAlignment="1">
      <alignment horizontal="center" vertical="center"/>
    </xf>
    <xf numFmtId="181" fontId="7" fillId="0" borderId="18" xfId="0" applyNumberFormat="1" applyFont="1" applyBorder="1" applyAlignment="1">
      <alignment vertical="center"/>
    </xf>
    <xf numFmtId="181" fontId="7" fillId="0" borderId="19" xfId="0" applyNumberFormat="1" applyFont="1" applyBorder="1" applyAlignment="1">
      <alignment vertical="center"/>
    </xf>
    <xf numFmtId="181" fontId="7" fillId="0" borderId="18" xfId="0" applyNumberFormat="1" applyFont="1" applyBorder="1" applyAlignment="1">
      <alignment horizontal="right" vertical="center"/>
    </xf>
    <xf numFmtId="181" fontId="7" fillId="0" borderId="19" xfId="0" applyNumberFormat="1" applyFont="1" applyBorder="1" applyAlignment="1">
      <alignment horizontal="right" vertical="center"/>
    </xf>
    <xf numFmtId="0" fontId="18" fillId="0" borderId="119" xfId="0" applyFont="1" applyBorder="1" applyAlignment="1">
      <alignment vertical="center"/>
    </xf>
    <xf numFmtId="0" fontId="18" fillId="0" borderId="31" xfId="0" applyFont="1" applyBorder="1" applyAlignment="1">
      <alignment vertical="center"/>
    </xf>
    <xf numFmtId="0" fontId="18" fillId="0" borderId="129" xfId="0" applyFont="1" applyBorder="1" applyAlignment="1">
      <alignment horizontal="right" vertical="center"/>
    </xf>
    <xf numFmtId="2" fontId="18" fillId="0" borderId="31" xfId="0" applyNumberFormat="1" applyFont="1" applyBorder="1" applyAlignment="1">
      <alignment vertical="center"/>
    </xf>
    <xf numFmtId="0" fontId="18" fillId="0" borderId="120" xfId="0" applyFont="1" applyBorder="1" applyAlignment="1">
      <alignment horizontal="center" vertical="center"/>
    </xf>
    <xf numFmtId="0" fontId="11" fillId="0" borderId="97" xfId="0" applyFont="1" applyBorder="1" applyAlignment="1">
      <alignment vertical="center"/>
    </xf>
    <xf numFmtId="0" fontId="18" fillId="0" borderId="52" xfId="0" applyFont="1" applyBorder="1" applyAlignment="1">
      <alignment vertical="center"/>
    </xf>
    <xf numFmtId="0" fontId="18" fillId="0" borderId="31" xfId="0" applyFont="1" applyBorder="1" applyAlignment="1">
      <alignment horizontal="right" vertical="center"/>
    </xf>
    <xf numFmtId="0" fontId="33" fillId="0" borderId="0" xfId="0" applyFont="1" applyAlignment="1">
      <alignment vertical="center"/>
    </xf>
    <xf numFmtId="0" fontId="34" fillId="0" borderId="0" xfId="0" applyFont="1" applyAlignment="1">
      <alignment vertical="center"/>
    </xf>
    <xf numFmtId="0" fontId="3" fillId="0" borderId="52" xfId="0" applyFont="1" applyBorder="1" applyAlignment="1">
      <alignment vertical="center"/>
    </xf>
    <xf numFmtId="0" fontId="3" fillId="0" borderId="31" xfId="0" applyFont="1" applyBorder="1" applyAlignment="1">
      <alignment horizontal="right" vertical="center"/>
    </xf>
    <xf numFmtId="0" fontId="36" fillId="0" borderId="0" xfId="0" applyFont="1"/>
    <xf numFmtId="0" fontId="0" fillId="0" borderId="18" xfId="0" applyBorder="1" applyAlignment="1">
      <alignment horizontal="center"/>
    </xf>
    <xf numFmtId="0" fontId="0" fillId="0" borderId="18" xfId="0" applyBorder="1"/>
    <xf numFmtId="176" fontId="0" fillId="0" borderId="18" xfId="0" applyNumberFormat="1" applyBorder="1" applyAlignment="1">
      <alignment horizontal="center"/>
    </xf>
    <xf numFmtId="0" fontId="37" fillId="0" borderId="0" xfId="0" applyFont="1" applyAlignment="1">
      <alignment vertical="center"/>
    </xf>
    <xf numFmtId="0" fontId="0" fillId="0" borderId="99" xfId="0" applyBorder="1" applyAlignment="1">
      <alignment horizontal="center"/>
    </xf>
    <xf numFmtId="0" fontId="0" fillId="0" borderId="100" xfId="0" applyBorder="1" applyAlignment="1">
      <alignment horizontal="center"/>
    </xf>
    <xf numFmtId="0" fontId="0" fillId="0" borderId="103" xfId="0" applyBorder="1"/>
    <xf numFmtId="181" fontId="0" fillId="0" borderId="130" xfId="0" applyNumberFormat="1" applyBorder="1" applyAlignment="1">
      <alignment horizontal="center"/>
    </xf>
    <xf numFmtId="0" fontId="0" fillId="0" borderId="49" xfId="0" applyBorder="1"/>
    <xf numFmtId="181" fontId="0" fillId="0" borderId="64" xfId="0" applyNumberFormat="1" applyBorder="1" applyAlignment="1">
      <alignment horizontal="center"/>
    </xf>
    <xf numFmtId="0" fontId="0" fillId="0" borderId="0" xfId="0" applyFill="1" applyBorder="1"/>
    <xf numFmtId="181" fontId="0" fillId="0" borderId="104" xfId="0" applyNumberFormat="1" applyBorder="1" applyAlignment="1">
      <alignment horizontal="center"/>
    </xf>
    <xf numFmtId="0" fontId="0" fillId="0" borderId="82" xfId="0" applyBorder="1"/>
    <xf numFmtId="0" fontId="0" fillId="0" borderId="131" xfId="0" applyBorder="1"/>
    <xf numFmtId="181" fontId="0" fillId="0" borderId="132" xfId="0" applyNumberFormat="1" applyBorder="1" applyAlignment="1">
      <alignment horizontal="center"/>
    </xf>
    <xf numFmtId="0" fontId="0" fillId="0" borderId="100" xfId="0" applyBorder="1"/>
    <xf numFmtId="181" fontId="0" fillId="0" borderId="100" xfId="0" applyNumberFormat="1" applyBorder="1" applyAlignment="1">
      <alignment horizontal="center"/>
    </xf>
    <xf numFmtId="0" fontId="0" fillId="0" borderId="130" xfId="0" applyBorder="1"/>
    <xf numFmtId="0" fontId="0" fillId="0" borderId="64" xfId="0" applyBorder="1"/>
    <xf numFmtId="0" fontId="0" fillId="0" borderId="104" xfId="0" applyBorder="1"/>
    <xf numFmtId="0" fontId="0" fillId="0" borderId="21" xfId="0" applyBorder="1" applyAlignment="1">
      <alignment horizontal="center" vertical="center" wrapText="1"/>
    </xf>
    <xf numFmtId="0" fontId="0" fillId="0" borderId="132" xfId="0" applyBorder="1"/>
    <xf numFmtId="181" fontId="0" fillId="0" borderId="18" xfId="0" applyNumberFormat="1" applyBorder="1" applyAlignment="1">
      <alignment horizontal="center"/>
    </xf>
    <xf numFmtId="0" fontId="0" fillId="0" borderId="40" xfId="0" applyBorder="1"/>
    <xf numFmtId="0" fontId="38" fillId="0" borderId="0" xfId="0" applyFont="1"/>
    <xf numFmtId="0" fontId="38" fillId="0" borderId="52" xfId="0" applyFont="1" applyBorder="1"/>
    <xf numFmtId="0" fontId="38" fillId="0" borderId="4" xfId="0" applyFont="1" applyBorder="1"/>
    <xf numFmtId="0" fontId="38" fillId="0" borderId="31" xfId="0" applyFont="1" applyBorder="1"/>
    <xf numFmtId="0" fontId="38" fillId="0" borderId="21" xfId="0" applyFont="1" applyBorder="1"/>
    <xf numFmtId="0" fontId="39" fillId="0" borderId="0" xfId="0" applyFont="1"/>
    <xf numFmtId="0" fontId="38" fillId="0" borderId="119" xfId="0" applyFont="1" applyBorder="1" applyAlignment="1">
      <alignment vertical="top"/>
    </xf>
    <xf numFmtId="0" fontId="38" fillId="0" borderId="18" xfId="0" applyFont="1" applyBorder="1"/>
    <xf numFmtId="2" fontId="38" fillId="0" borderId="18" xfId="0" applyNumberFormat="1" applyFont="1" applyBorder="1" applyAlignment="1">
      <alignment horizontal="center"/>
    </xf>
    <xf numFmtId="0" fontId="38" fillId="0" borderId="39" xfId="0" applyFont="1" applyBorder="1"/>
    <xf numFmtId="0" fontId="38" fillId="0" borderId="18" xfId="0" applyFont="1" applyBorder="1" applyAlignment="1">
      <alignment vertical="center"/>
    </xf>
    <xf numFmtId="0" fontId="41" fillId="0" borderId="18" xfId="0" applyFont="1" applyBorder="1" applyAlignment="1">
      <alignment vertical="center" wrapText="1"/>
    </xf>
    <xf numFmtId="0" fontId="38" fillId="0" borderId="119" xfId="0" applyFont="1" applyBorder="1"/>
    <xf numFmtId="0" fontId="38" fillId="0" borderId="18" xfId="0" applyFont="1" applyFill="1" applyBorder="1"/>
    <xf numFmtId="0" fontId="38" fillId="0" borderId="31" xfId="0" applyFont="1" applyFill="1" applyBorder="1"/>
    <xf numFmtId="0" fontId="38" fillId="0" borderId="119" xfId="0" applyFont="1" applyFill="1" applyBorder="1"/>
    <xf numFmtId="0" fontId="38" fillId="0" borderId="21" xfId="0" applyFont="1" applyFill="1" applyBorder="1"/>
    <xf numFmtId="2" fontId="38" fillId="0" borderId="118" xfId="0" applyNumberFormat="1" applyFont="1" applyBorder="1" applyAlignment="1">
      <alignment horizontal="center"/>
    </xf>
    <xf numFmtId="0" fontId="38" fillId="0" borderId="119" xfId="0" applyFont="1" applyBorder="1" applyAlignment="1">
      <alignment horizontal="center"/>
    </xf>
    <xf numFmtId="0" fontId="39" fillId="0" borderId="0" xfId="0" applyFont="1" applyAlignment="1"/>
    <xf numFmtId="0" fontId="39" fillId="0" borderId="40" xfId="0" applyFont="1" applyBorder="1" applyAlignment="1"/>
    <xf numFmtId="0" fontId="38" fillId="0" borderId="18" xfId="0" applyFont="1" applyBorder="1" applyAlignment="1">
      <alignment vertical="center" wrapText="1"/>
    </xf>
    <xf numFmtId="0" fontId="38" fillId="0" borderId="52" xfId="0" applyFont="1" applyBorder="1" applyAlignment="1">
      <alignment vertical="center"/>
    </xf>
    <xf numFmtId="2" fontId="38" fillId="0" borderId="18" xfId="0" applyNumberFormat="1" applyFont="1" applyBorder="1" applyAlignment="1">
      <alignment horizontal="center" vertical="center"/>
    </xf>
    <xf numFmtId="0" fontId="38" fillId="0" borderId="18" xfId="0" applyFont="1" applyBorder="1" applyAlignment="1">
      <alignment horizontal="center"/>
    </xf>
    <xf numFmtId="0" fontId="38" fillId="0" borderId="39" xfId="0" applyFont="1" applyBorder="1" applyAlignment="1">
      <alignment wrapText="1"/>
    </xf>
    <xf numFmtId="0" fontId="38" fillId="0" borderId="18" xfId="0" applyFont="1" applyBorder="1" applyAlignment="1">
      <alignment horizontal="center" vertical="center"/>
    </xf>
    <xf numFmtId="0" fontId="38" fillId="0" borderId="18" xfId="0" applyFont="1" applyBorder="1" applyAlignment="1">
      <alignment wrapText="1"/>
    </xf>
    <xf numFmtId="0" fontId="38" fillId="0" borderId="18" xfId="0" applyFont="1" applyFill="1" applyBorder="1" applyAlignment="1">
      <alignment wrapText="1"/>
    </xf>
    <xf numFmtId="0" fontId="0" fillId="0" borderId="0" xfId="0" applyAlignment="1">
      <alignment horizontal="right"/>
    </xf>
    <xf numFmtId="0" fontId="7" fillId="0" borderId="3" xfId="0" applyFont="1" applyBorder="1" applyAlignment="1">
      <alignment horizontal="center" vertical="center" wrapText="1"/>
    </xf>
    <xf numFmtId="2" fontId="6" fillId="0" borderId="0" xfId="0" applyNumberFormat="1" applyFont="1" applyAlignment="1">
      <alignment horizontal="center" vertical="center"/>
    </xf>
    <xf numFmtId="2" fontId="6" fillId="0" borderId="0" xfId="0" applyNumberFormat="1" applyFont="1" applyAlignment="1">
      <alignment vertical="center"/>
    </xf>
    <xf numFmtId="181" fontId="7" fillId="3" borderId="18" xfId="0" applyNumberFormat="1" applyFont="1" applyFill="1" applyBorder="1" applyAlignment="1" applyProtection="1">
      <alignment vertical="center" shrinkToFit="1"/>
      <protection locked="0"/>
    </xf>
    <xf numFmtId="181" fontId="7" fillId="3" borderId="19" xfId="0" applyNumberFormat="1" applyFont="1" applyFill="1" applyBorder="1" applyAlignment="1" applyProtection="1">
      <alignment vertical="center" shrinkToFit="1"/>
      <protection locked="0"/>
    </xf>
    <xf numFmtId="177" fontId="7" fillId="3" borderId="16" xfId="0" applyNumberFormat="1" applyFont="1" applyFill="1" applyBorder="1" applyAlignment="1" applyProtection="1">
      <alignment vertical="center" shrinkToFit="1"/>
      <protection locked="0"/>
    </xf>
    <xf numFmtId="177" fontId="7" fillId="3" borderId="28" xfId="0" applyNumberFormat="1" applyFont="1" applyFill="1" applyBorder="1" applyAlignment="1" applyProtection="1">
      <alignment vertical="center" shrinkToFit="1"/>
      <protection locked="0"/>
    </xf>
    <xf numFmtId="177" fontId="7" fillId="3" borderId="124" xfId="0" applyNumberFormat="1" applyFont="1" applyFill="1" applyBorder="1" applyAlignment="1" applyProtection="1">
      <alignment vertical="center" shrinkToFit="1"/>
      <protection locked="0"/>
    </xf>
    <xf numFmtId="177" fontId="7" fillId="7" borderId="124" xfId="0" applyNumberFormat="1" applyFont="1" applyFill="1" applyBorder="1" applyAlignment="1" applyProtection="1">
      <alignment vertical="center" shrinkToFit="1"/>
      <protection locked="0"/>
    </xf>
    <xf numFmtId="177" fontId="7" fillId="7" borderId="125" xfId="0" applyNumberFormat="1" applyFont="1" applyFill="1" applyBorder="1" applyAlignment="1" applyProtection="1">
      <alignment vertical="center" shrinkToFit="1"/>
      <protection locked="0"/>
    </xf>
    <xf numFmtId="177" fontId="7" fillId="3" borderId="21" xfId="0" applyNumberFormat="1" applyFont="1" applyFill="1" applyBorder="1" applyAlignment="1" applyProtection="1">
      <alignment vertical="center" shrinkToFit="1"/>
      <protection locked="0"/>
    </xf>
    <xf numFmtId="177" fontId="7" fillId="3" borderId="128" xfId="0" applyNumberFormat="1" applyFont="1" applyFill="1" applyBorder="1" applyAlignment="1" applyProtection="1">
      <alignment vertical="center" shrinkToFit="1"/>
      <protection locked="0"/>
    </xf>
    <xf numFmtId="181" fontId="7" fillId="7" borderId="124" xfId="0" applyNumberFormat="1" applyFont="1" applyFill="1" applyBorder="1" applyAlignment="1" applyProtection="1">
      <alignment vertical="center"/>
    </xf>
    <xf numFmtId="183" fontId="7" fillId="3" borderId="124" xfId="0" applyNumberFormat="1" applyFont="1" applyFill="1" applyBorder="1" applyAlignment="1" applyProtection="1">
      <alignment vertical="center" shrinkToFit="1"/>
      <protection locked="0"/>
    </xf>
    <xf numFmtId="0" fontId="7" fillId="0" borderId="3" xfId="0" applyFont="1" applyBorder="1" applyAlignment="1">
      <alignment horizontal="center" vertical="center" wrapText="1"/>
    </xf>
    <xf numFmtId="0" fontId="7" fillId="0" borderId="3" xfId="0" applyFont="1" applyBorder="1" applyAlignment="1">
      <alignment horizontal="center" vertical="center" wrapText="1"/>
    </xf>
    <xf numFmtId="0" fontId="4" fillId="3" borderId="23" xfId="0" applyFont="1" applyFill="1" applyBorder="1" applyAlignment="1" applyProtection="1">
      <alignment horizontal="center" vertical="center" shrinkToFit="1"/>
      <protection locked="0"/>
    </xf>
    <xf numFmtId="178" fontId="7" fillId="3" borderId="16" xfId="0" applyNumberFormat="1" applyFont="1" applyFill="1" applyBorder="1" applyAlignment="1" applyProtection="1">
      <alignment vertical="center" shrinkToFit="1"/>
      <protection locked="0"/>
    </xf>
    <xf numFmtId="178" fontId="7" fillId="3" borderId="28" xfId="0" applyNumberFormat="1" applyFont="1" applyFill="1" applyBorder="1" applyAlignment="1" applyProtection="1">
      <alignment vertical="center" shrinkToFit="1"/>
      <protection locked="0"/>
    </xf>
    <xf numFmtId="178" fontId="7" fillId="3" borderId="21" xfId="0" applyNumberFormat="1" applyFont="1" applyFill="1" applyBorder="1" applyAlignment="1" applyProtection="1">
      <alignment vertical="center" shrinkToFit="1"/>
      <protection locked="0"/>
    </xf>
    <xf numFmtId="178" fontId="7" fillId="3" borderId="128" xfId="0" applyNumberFormat="1" applyFont="1" applyFill="1" applyBorder="1" applyAlignment="1" applyProtection="1">
      <alignment vertical="center" shrinkToFit="1"/>
      <protection locked="0"/>
    </xf>
    <xf numFmtId="177" fontId="7" fillId="3" borderId="124" xfId="0" applyNumberFormat="1" applyFont="1" applyFill="1" applyBorder="1" applyAlignment="1" applyProtection="1">
      <alignment horizontal="right" vertical="center" shrinkToFit="1"/>
      <protection locked="0"/>
    </xf>
    <xf numFmtId="184" fontId="7" fillId="3" borderId="124" xfId="0" applyNumberFormat="1" applyFont="1" applyFill="1" applyBorder="1" applyAlignment="1" applyProtection="1">
      <alignment horizontal="right" vertical="center" shrinkToFit="1"/>
      <protection locked="0"/>
    </xf>
    <xf numFmtId="181" fontId="7" fillId="3" borderId="19" xfId="0" applyNumberFormat="1" applyFont="1" applyFill="1" applyBorder="1" applyAlignment="1" applyProtection="1">
      <alignment horizontal="center" vertical="center" shrinkToFit="1"/>
      <protection locked="0"/>
    </xf>
    <xf numFmtId="177" fontId="7" fillId="3" borderId="28" xfId="0" applyNumberFormat="1" applyFont="1" applyFill="1" applyBorder="1" applyAlignment="1" applyProtection="1">
      <alignment horizontal="center" vertical="center" shrinkToFit="1"/>
      <protection locked="0"/>
    </xf>
    <xf numFmtId="177" fontId="7" fillId="7" borderId="125" xfId="0" applyNumberFormat="1" applyFont="1" applyFill="1" applyBorder="1" applyAlignment="1" applyProtection="1">
      <alignment horizontal="center" vertical="center" shrinkToFit="1"/>
      <protection locked="0"/>
    </xf>
    <xf numFmtId="177" fontId="7" fillId="3" borderId="128" xfId="0" applyNumberFormat="1" applyFont="1" applyFill="1" applyBorder="1" applyAlignment="1" applyProtection="1">
      <alignment horizontal="center" vertical="center" shrinkToFit="1"/>
      <protection locked="0"/>
    </xf>
    <xf numFmtId="0" fontId="43" fillId="0" borderId="0" xfId="0" applyFont="1" applyAlignment="1">
      <alignment vertical="center"/>
    </xf>
    <xf numFmtId="0" fontId="20" fillId="0" borderId="0" xfId="0" applyFont="1" applyAlignment="1">
      <alignment horizontal="left" vertical="center"/>
    </xf>
    <xf numFmtId="0" fontId="3" fillId="0" borderId="18" xfId="0" applyFont="1" applyBorder="1" applyAlignment="1">
      <alignment horizontal="center" vertical="center" wrapText="1"/>
    </xf>
    <xf numFmtId="0" fontId="3" fillId="0" borderId="35"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17" fillId="0" borderId="52"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53"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0" fillId="0" borderId="18" xfId="0" applyBorder="1" applyAlignment="1">
      <alignment horizontal="center" vertical="center"/>
    </xf>
    <xf numFmtId="0" fontId="8" fillId="3" borderId="4" xfId="0" applyFont="1" applyFill="1" applyBorder="1" applyAlignment="1" applyProtection="1">
      <alignment horizontal="center" vertical="center"/>
      <protection locked="0"/>
    </xf>
    <xf numFmtId="0" fontId="8" fillId="3" borderId="19" xfId="0" applyFont="1" applyFill="1" applyBorder="1" applyAlignment="1" applyProtection="1">
      <alignment horizontal="center" vertical="center"/>
      <protection locked="0"/>
    </xf>
    <xf numFmtId="0" fontId="1" fillId="2" borderId="13" xfId="1" applyNumberFormat="1" applyFont="1" applyFill="1" applyBorder="1" applyAlignment="1">
      <alignment horizontal="center" vertical="center"/>
    </xf>
    <xf numFmtId="0" fontId="1" fillId="2" borderId="14" xfId="1" applyNumberFormat="1" applyFont="1" applyFill="1" applyBorder="1" applyAlignment="1">
      <alignment horizontal="center" vertical="center"/>
    </xf>
    <xf numFmtId="0" fontId="6" fillId="0" borderId="7" xfId="0" applyFont="1" applyBorder="1" applyAlignment="1">
      <alignment horizontal="right" vertical="center"/>
    </xf>
    <xf numFmtId="0" fontId="6" fillId="0" borderId="13" xfId="0" applyFont="1" applyBorder="1" applyAlignment="1">
      <alignment horizontal="right" vertical="center"/>
    </xf>
    <xf numFmtId="0" fontId="16" fillId="0" borderId="3" xfId="0" applyFont="1" applyBorder="1" applyAlignment="1">
      <alignment horizontal="center" vertical="center"/>
    </xf>
    <xf numFmtId="0" fontId="16" fillId="0" borderId="30"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7"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horizontal="center" vertical="center"/>
    </xf>
    <xf numFmtId="0" fontId="3" fillId="0" borderId="27" xfId="0" applyFont="1" applyBorder="1" applyAlignment="1">
      <alignment horizontal="center" vertical="center"/>
    </xf>
    <xf numFmtId="0" fontId="6" fillId="0" borderId="51" xfId="0" applyFont="1" applyBorder="1" applyAlignment="1">
      <alignment horizontal="right" vertical="center"/>
    </xf>
    <xf numFmtId="0" fontId="6" fillId="0" borderId="6" xfId="0" applyFont="1" applyBorder="1" applyAlignment="1">
      <alignment horizontal="right" vertical="center"/>
    </xf>
    <xf numFmtId="0" fontId="3" fillId="0" borderId="51" xfId="0" applyFont="1" applyBorder="1" applyAlignment="1">
      <alignment vertical="center"/>
    </xf>
    <xf numFmtId="0" fontId="3" fillId="0" borderId="6" xfId="0" applyFont="1" applyBorder="1" applyAlignment="1">
      <alignment vertical="center"/>
    </xf>
    <xf numFmtId="0" fontId="3" fillId="0" borderId="17" xfId="0" applyFont="1" applyBorder="1" applyAlignment="1">
      <alignment vertical="center"/>
    </xf>
    <xf numFmtId="0" fontId="0" fillId="0" borderId="40" xfId="0" applyBorder="1" applyAlignment="1">
      <alignment horizontal="center" vertical="center"/>
    </xf>
    <xf numFmtId="2" fontId="10" fillId="0" borderId="0" xfId="0" applyNumberFormat="1" applyFont="1" applyAlignment="1">
      <alignment horizontal="center" vertical="center"/>
    </xf>
    <xf numFmtId="0" fontId="6" fillId="0" borderId="0" xfId="0" applyFont="1" applyAlignment="1">
      <alignment horizontal="center" vertical="center"/>
    </xf>
    <xf numFmtId="0" fontId="3" fillId="0" borderId="9" xfId="0" applyFont="1" applyBorder="1" applyAlignment="1">
      <alignment vertical="center"/>
    </xf>
    <xf numFmtId="0" fontId="3" fillId="0" borderId="4" xfId="0" applyFont="1" applyBorder="1" applyAlignment="1">
      <alignment vertical="center"/>
    </xf>
    <xf numFmtId="0" fontId="3" fillId="0" borderId="19" xfId="0" applyFont="1" applyBorder="1" applyAlignment="1">
      <alignment vertical="center"/>
    </xf>
    <xf numFmtId="0" fontId="8" fillId="3" borderId="4" xfId="0" applyFont="1" applyFill="1" applyBorder="1" applyAlignment="1" applyProtection="1">
      <alignment vertical="center" shrinkToFit="1"/>
      <protection locked="0"/>
    </xf>
    <xf numFmtId="0" fontId="8" fillId="3" borderId="31" xfId="0" applyFont="1" applyFill="1" applyBorder="1" applyAlignment="1" applyProtection="1">
      <alignment vertical="center" shrinkToFit="1"/>
      <protection locked="0"/>
    </xf>
    <xf numFmtId="0" fontId="3" fillId="2" borderId="52"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8" xfId="0" applyFont="1" applyBorder="1" applyAlignment="1">
      <alignment vertical="center"/>
    </xf>
    <xf numFmtId="0" fontId="3" fillId="0" borderId="5" xfId="0" applyFont="1" applyBorder="1" applyAlignment="1">
      <alignment vertical="center"/>
    </xf>
    <xf numFmtId="0" fontId="3" fillId="0" borderId="15" xfId="0" applyFont="1" applyBorder="1" applyAlignment="1">
      <alignment vertical="center"/>
    </xf>
    <xf numFmtId="0" fontId="8" fillId="3" borderId="5" xfId="0" applyFont="1" applyFill="1" applyBorder="1" applyAlignment="1" applyProtection="1">
      <alignment vertical="center" shrinkToFit="1"/>
      <protection locked="0"/>
    </xf>
    <xf numFmtId="0" fontId="8" fillId="3" borderId="15" xfId="0" applyFont="1" applyFill="1" applyBorder="1" applyAlignment="1" applyProtection="1">
      <alignment vertical="center" shrinkToFit="1"/>
      <protection locked="0"/>
    </xf>
    <xf numFmtId="0" fontId="3" fillId="2" borderId="13" xfId="0" applyFont="1" applyFill="1" applyBorder="1" applyAlignment="1">
      <alignment horizontal="right" vertical="center"/>
    </xf>
    <xf numFmtId="0" fontId="8" fillId="3" borderId="13" xfId="0" applyFont="1" applyFill="1" applyBorder="1" applyAlignment="1" applyProtection="1">
      <alignment horizontal="center" vertical="center"/>
      <protection locked="0"/>
    </xf>
    <xf numFmtId="0" fontId="6" fillId="2" borderId="51" xfId="1" applyNumberFormat="1" applyFont="1" applyFill="1" applyBorder="1" applyAlignment="1">
      <alignment horizontal="right" vertical="center"/>
    </xf>
    <xf numFmtId="0" fontId="6" fillId="2" borderId="6" xfId="1" applyNumberFormat="1" applyFont="1" applyFill="1" applyBorder="1" applyAlignment="1">
      <alignment horizontal="right" vertical="center"/>
    </xf>
    <xf numFmtId="0" fontId="9" fillId="0" borderId="6" xfId="0" applyFont="1" applyBorder="1" applyAlignment="1">
      <alignment horizontal="left" vertical="center"/>
    </xf>
    <xf numFmtId="0" fontId="9" fillId="0" borderId="17" xfId="0" applyFont="1" applyBorder="1" applyAlignment="1">
      <alignment horizontal="left" vertical="center"/>
    </xf>
    <xf numFmtId="0" fontId="9" fillId="2" borderId="13" xfId="1" applyNumberFormat="1" applyFont="1" applyFill="1" applyBorder="1" applyAlignment="1">
      <alignment horizontal="center" vertical="center"/>
    </xf>
    <xf numFmtId="0" fontId="9" fillId="2" borderId="14" xfId="1" applyNumberFormat="1" applyFont="1" applyFill="1" applyBorder="1" applyAlignment="1">
      <alignment horizontal="center" vertical="center"/>
    </xf>
    <xf numFmtId="0" fontId="3" fillId="4" borderId="52" xfId="0" applyFont="1" applyFill="1" applyBorder="1" applyAlignment="1">
      <alignment horizontal="center" vertical="center"/>
    </xf>
    <xf numFmtId="0" fontId="3" fillId="4" borderId="31" xfId="0" applyFont="1" applyFill="1" applyBorder="1" applyAlignment="1">
      <alignment horizontal="center" vertical="center"/>
    </xf>
    <xf numFmtId="0" fontId="3" fillId="0" borderId="37" xfId="0" applyFont="1" applyBorder="1" applyAlignment="1">
      <alignment horizontal="center" vertical="center"/>
    </xf>
    <xf numFmtId="0" fontId="3" fillId="0" borderId="3" xfId="0" applyFont="1" applyBorder="1" applyAlignment="1">
      <alignment horizontal="center" vertical="center"/>
    </xf>
    <xf numFmtId="179" fontId="6" fillId="0" borderId="53" xfId="0" applyNumberFormat="1" applyFont="1" applyBorder="1" applyAlignment="1">
      <alignment horizontal="right" vertical="center"/>
    </xf>
    <xf numFmtId="179" fontId="6" fillId="0" borderId="13" xfId="0" applyNumberFormat="1" applyFont="1" applyBorder="1" applyAlignment="1">
      <alignment horizontal="right"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Border="1" applyAlignment="1">
      <alignment horizontal="center" vertical="center"/>
    </xf>
    <xf numFmtId="0" fontId="3" fillId="0" borderId="6" xfId="0" applyFont="1" applyBorder="1" applyAlignment="1">
      <alignment horizontal="center" vertical="center"/>
    </xf>
    <xf numFmtId="0" fontId="3" fillId="0" borderId="17" xfId="0" applyFont="1" applyBorder="1" applyAlignment="1">
      <alignment horizontal="center" vertical="center"/>
    </xf>
    <xf numFmtId="0" fontId="3" fillId="0" borderId="8" xfId="0" applyFont="1" applyBorder="1" applyAlignment="1">
      <alignment horizontal="center" vertical="center"/>
    </xf>
    <xf numFmtId="0" fontId="6" fillId="0" borderId="8" xfId="0" applyFont="1" applyBorder="1" applyAlignment="1">
      <alignment horizontal="right" vertical="center"/>
    </xf>
    <xf numFmtId="0" fontId="6" fillId="0" borderId="5" xfId="0" applyFont="1" applyBorder="1" applyAlignment="1">
      <alignment horizontal="right" vertical="center"/>
    </xf>
    <xf numFmtId="0" fontId="9" fillId="0" borderId="5" xfId="0" applyFont="1" applyBorder="1" applyAlignment="1">
      <alignment horizontal="center" vertical="center"/>
    </xf>
    <xf numFmtId="0" fontId="9" fillId="0" borderId="58" xfId="0" applyFont="1" applyBorder="1" applyAlignment="1">
      <alignment horizontal="center" vertical="center"/>
    </xf>
    <xf numFmtId="0" fontId="6" fillId="0" borderId="35" xfId="0" applyFont="1" applyBorder="1" applyAlignment="1">
      <alignment horizontal="right" vertical="center"/>
    </xf>
    <xf numFmtId="181" fontId="7" fillId="0" borderId="7" xfId="0" applyNumberFormat="1" applyFont="1" applyBorder="1" applyAlignment="1">
      <alignment vertical="center"/>
    </xf>
    <xf numFmtId="181" fontId="7" fillId="0" borderId="13" xfId="0" applyNumberFormat="1" applyFont="1" applyBorder="1" applyAlignment="1">
      <alignment vertical="center"/>
    </xf>
    <xf numFmtId="181" fontId="7" fillId="0" borderId="27" xfId="0" applyNumberFormat="1" applyFont="1" applyBorder="1" applyAlignment="1">
      <alignment vertical="center"/>
    </xf>
    <xf numFmtId="181" fontId="7" fillId="0" borderId="53" xfId="0" applyNumberFormat="1" applyFont="1" applyBorder="1" applyAlignment="1">
      <alignment horizontal="center" vertical="center"/>
    </xf>
    <xf numFmtId="181" fontId="7" fillId="0" borderId="14" xfId="0" applyNumberFormat="1" applyFont="1" applyBorder="1" applyAlignment="1">
      <alignment horizontal="center" vertical="center"/>
    </xf>
    <xf numFmtId="0" fontId="7" fillId="0" borderId="6" xfId="0" applyFont="1" applyBorder="1" applyAlignment="1">
      <alignment horizontal="center" vertical="center"/>
    </xf>
    <xf numFmtId="0" fontId="12" fillId="3" borderId="37" xfId="0" applyFont="1" applyFill="1" applyBorder="1" applyAlignment="1" applyProtection="1">
      <alignment horizontal="center" vertical="center" shrinkToFit="1"/>
      <protection locked="0"/>
    </xf>
    <xf numFmtId="0" fontId="12" fillId="3" borderId="60" xfId="0" applyFont="1" applyFill="1" applyBorder="1" applyAlignment="1" applyProtection="1">
      <alignment horizontal="center" vertical="center" shrinkToFit="1"/>
      <protection locked="0"/>
    </xf>
    <xf numFmtId="0" fontId="7" fillId="0" borderId="3" xfId="0" applyFont="1" applyBorder="1" applyAlignment="1">
      <alignment horizontal="center" vertical="center" wrapText="1"/>
    </xf>
    <xf numFmtId="0" fontId="7" fillId="0" borderId="30" xfId="0" applyFont="1" applyBorder="1" applyAlignment="1">
      <alignment horizontal="center" vertical="center"/>
    </xf>
    <xf numFmtId="181" fontId="7" fillId="0" borderId="29" xfId="0" applyNumberFormat="1" applyFont="1" applyBorder="1" applyAlignment="1">
      <alignment horizontal="left" vertical="center"/>
    </xf>
    <xf numFmtId="181" fontId="7" fillId="0" borderId="0" xfId="0" applyNumberFormat="1" applyFont="1" applyBorder="1" applyAlignment="1">
      <alignment horizontal="left" vertical="center"/>
    </xf>
    <xf numFmtId="181" fontId="7" fillId="3" borderId="121" xfId="0" applyNumberFormat="1" applyFont="1" applyFill="1" applyBorder="1" applyAlignment="1" applyProtection="1">
      <alignment horizontal="left" vertical="center" shrinkToFit="1"/>
      <protection locked="0"/>
    </xf>
    <xf numFmtId="181" fontId="7" fillId="3" borderId="122" xfId="0" applyNumberFormat="1" applyFont="1" applyFill="1" applyBorder="1" applyAlignment="1" applyProtection="1">
      <alignment horizontal="left" vertical="center" shrinkToFit="1"/>
      <protection locked="0"/>
    </xf>
    <xf numFmtId="181" fontId="7" fillId="3" borderId="123" xfId="0" applyNumberFormat="1" applyFont="1" applyFill="1" applyBorder="1" applyAlignment="1" applyProtection="1">
      <alignment horizontal="left" vertical="center" shrinkToFit="1"/>
      <protection locked="0"/>
    </xf>
    <xf numFmtId="181" fontId="7" fillId="0" borderId="9" xfId="0" applyNumberFormat="1" applyFont="1" applyBorder="1" applyAlignment="1">
      <alignment vertical="center"/>
    </xf>
    <xf numFmtId="181" fontId="7" fillId="0" borderId="4" xfId="0" applyNumberFormat="1" applyFont="1" applyBorder="1" applyAlignment="1">
      <alignment vertical="center"/>
    </xf>
    <xf numFmtId="181" fontId="7" fillId="0" borderId="31" xfId="0" applyNumberFormat="1" applyFont="1" applyBorder="1" applyAlignment="1">
      <alignment vertical="center"/>
    </xf>
    <xf numFmtId="0" fontId="7" fillId="0" borderId="51" xfId="0" applyFont="1" applyBorder="1" applyAlignment="1">
      <alignment horizontal="center" vertical="center"/>
    </xf>
    <xf numFmtId="0" fontId="7" fillId="0" borderId="59" xfId="0" applyFont="1" applyBorder="1" applyAlignment="1">
      <alignment horizontal="center" vertical="center"/>
    </xf>
    <xf numFmtId="0" fontId="7" fillId="0" borderId="117" xfId="0" applyFont="1" applyBorder="1" applyAlignment="1">
      <alignment horizontal="center" vertical="center"/>
    </xf>
    <xf numFmtId="0" fontId="7" fillId="0" borderId="118" xfId="0" applyFont="1" applyBorder="1" applyAlignment="1">
      <alignment horizontal="center" vertical="center"/>
    </xf>
    <xf numFmtId="181" fontId="7" fillId="0" borderId="126" xfId="0" applyNumberFormat="1" applyFont="1" applyBorder="1" applyAlignment="1">
      <alignment horizontal="left" vertical="center"/>
    </xf>
    <xf numFmtId="181" fontId="7" fillId="0" borderId="127" xfId="0" applyNumberFormat="1" applyFont="1" applyBorder="1" applyAlignment="1">
      <alignment horizontal="left" vertical="center"/>
    </xf>
    <xf numFmtId="0" fontId="7" fillId="0" borderId="52" xfId="0" applyFont="1" applyBorder="1" applyAlignment="1">
      <alignment horizontal="center" vertical="center"/>
    </xf>
    <xf numFmtId="0" fontId="7" fillId="0" borderId="4" xfId="0" applyFont="1" applyBorder="1" applyAlignment="1">
      <alignment horizontal="center" vertical="center"/>
    </xf>
    <xf numFmtId="0" fontId="18" fillId="0" borderId="52" xfId="0" applyFont="1" applyBorder="1" applyAlignment="1">
      <alignment horizontal="center" vertical="center"/>
    </xf>
    <xf numFmtId="0" fontId="18" fillId="0" borderId="31" xfId="0" applyFont="1" applyBorder="1" applyAlignment="1">
      <alignment horizontal="center" vertical="center"/>
    </xf>
    <xf numFmtId="0" fontId="18" fillId="0" borderId="119" xfId="0" applyFont="1" applyBorder="1" applyAlignment="1">
      <alignment horizontal="center" vertical="center"/>
    </xf>
    <xf numFmtId="0" fontId="18" fillId="0" borderId="21" xfId="0" applyFont="1" applyBorder="1" applyAlignment="1">
      <alignment horizontal="center" vertical="center"/>
    </xf>
    <xf numFmtId="0" fontId="7" fillId="3" borderId="37" xfId="0" applyFont="1" applyFill="1" applyBorder="1" applyAlignment="1" applyProtection="1">
      <alignment horizontal="center" vertical="center" shrinkToFit="1"/>
      <protection locked="0"/>
    </xf>
    <xf numFmtId="0" fontId="7" fillId="3" borderId="60" xfId="0" applyFont="1" applyFill="1" applyBorder="1" applyAlignment="1" applyProtection="1">
      <alignment horizontal="center" vertical="center" shrinkToFit="1"/>
      <protection locked="0"/>
    </xf>
    <xf numFmtId="0" fontId="6" fillId="3" borderId="37" xfId="0" applyFont="1" applyFill="1" applyBorder="1" applyAlignment="1" applyProtection="1">
      <alignment horizontal="center" vertical="center" shrinkToFit="1"/>
      <protection locked="0"/>
    </xf>
    <xf numFmtId="0" fontId="6" fillId="3" borderId="60" xfId="0" applyFont="1" applyFill="1" applyBorder="1" applyAlignment="1" applyProtection="1">
      <alignment horizontal="center" vertical="center" shrinkToFit="1"/>
      <protection locked="0"/>
    </xf>
    <xf numFmtId="0" fontId="42" fillId="3" borderId="37" xfId="0" applyFont="1" applyFill="1" applyBorder="1" applyAlignment="1" applyProtection="1">
      <alignment horizontal="center" vertical="center" shrinkToFit="1"/>
      <protection locked="0"/>
    </xf>
    <xf numFmtId="0" fontId="42" fillId="3" borderId="60" xfId="0" applyFont="1" applyFill="1" applyBorder="1" applyAlignment="1" applyProtection="1">
      <alignment horizontal="center" vertical="center" shrinkToFit="1"/>
      <protection locked="0"/>
    </xf>
    <xf numFmtId="0" fontId="29" fillId="6" borderId="0" xfId="0" applyFont="1" applyFill="1" applyAlignment="1">
      <alignment horizontal="center" vertical="center"/>
    </xf>
    <xf numFmtId="2" fontId="6" fillId="0" borderId="0" xfId="0" applyNumberFormat="1" applyFont="1" applyAlignment="1">
      <alignment horizontal="center" vertical="center"/>
    </xf>
    <xf numFmtId="0" fontId="4" fillId="0" borderId="51" xfId="0" applyFont="1" applyFill="1" applyBorder="1" applyAlignment="1">
      <alignment horizontal="center" vertical="center" textRotation="255"/>
    </xf>
    <xf numFmtId="0" fontId="4" fillId="0" borderId="6" xfId="0" applyFont="1" applyFill="1" applyBorder="1" applyAlignment="1">
      <alignment horizontal="center" vertical="center" textRotation="255"/>
    </xf>
    <xf numFmtId="0" fontId="4" fillId="0" borderId="29" xfId="0" applyFont="1" applyFill="1" applyBorder="1" applyAlignment="1">
      <alignment horizontal="center" vertical="center" textRotation="255"/>
    </xf>
    <xf numFmtId="0" fontId="4" fillId="0" borderId="0" xfId="0" applyFont="1" applyFill="1" applyBorder="1" applyAlignment="1">
      <alignment horizontal="center" vertical="center" textRotation="255"/>
    </xf>
    <xf numFmtId="0" fontId="4" fillId="0" borderId="37" xfId="0" applyFont="1" applyFill="1" applyBorder="1" applyAlignment="1">
      <alignment horizontal="center" vertical="center" textRotation="255"/>
    </xf>
    <xf numFmtId="0" fontId="4" fillId="0" borderId="3" xfId="0" applyFont="1" applyFill="1" applyBorder="1" applyAlignment="1">
      <alignment horizontal="center" vertical="center" textRotation="255"/>
    </xf>
    <xf numFmtId="0" fontId="3" fillId="0" borderId="8" xfId="0" applyFont="1" applyFill="1" applyBorder="1" applyAlignment="1">
      <alignment vertical="center"/>
    </xf>
    <xf numFmtId="0" fontId="3" fillId="0" borderId="5" xfId="0" applyFont="1" applyFill="1" applyBorder="1" applyAlignment="1">
      <alignment vertical="center"/>
    </xf>
    <xf numFmtId="0" fontId="3" fillId="0" borderId="15" xfId="0" applyFont="1" applyFill="1" applyBorder="1" applyAlignment="1">
      <alignment vertical="center"/>
    </xf>
    <xf numFmtId="178" fontId="3" fillId="0" borderId="5" xfId="0" applyNumberFormat="1" applyFont="1" applyFill="1" applyBorder="1" applyAlignment="1" applyProtection="1">
      <alignment horizontal="center" vertical="center"/>
    </xf>
    <xf numFmtId="0" fontId="24" fillId="0" borderId="5" xfId="0" applyNumberFormat="1" applyFont="1" applyFill="1" applyBorder="1" applyAlignment="1" applyProtection="1">
      <alignment horizontal="center" vertical="center" shrinkToFit="1"/>
    </xf>
    <xf numFmtId="0" fontId="3" fillId="0" borderId="5" xfId="0" applyNumberFormat="1" applyFont="1" applyFill="1" applyBorder="1" applyAlignment="1" applyProtection="1">
      <alignment vertical="center" shrinkToFit="1"/>
    </xf>
    <xf numFmtId="0" fontId="3" fillId="0" borderId="5" xfId="0" applyNumberFormat="1" applyFont="1" applyFill="1" applyBorder="1" applyAlignment="1" applyProtection="1">
      <alignment horizontal="center" vertical="center" shrinkToFit="1"/>
    </xf>
    <xf numFmtId="0" fontId="3" fillId="0" borderId="9" xfId="0" applyFont="1" applyFill="1" applyBorder="1" applyAlignment="1">
      <alignment vertical="center"/>
    </xf>
    <xf numFmtId="0" fontId="3" fillId="0" borderId="4" xfId="0" applyFont="1" applyFill="1" applyBorder="1" applyAlignment="1">
      <alignment vertical="center"/>
    </xf>
    <xf numFmtId="0" fontId="3" fillId="0" borderId="19" xfId="0" applyFont="1" applyFill="1" applyBorder="1" applyAlignment="1">
      <alignment vertical="center"/>
    </xf>
    <xf numFmtId="178" fontId="3" fillId="0" borderId="4" xfId="0" applyNumberFormat="1" applyFont="1" applyFill="1" applyBorder="1" applyAlignment="1" applyProtection="1">
      <alignment horizontal="center" vertical="center"/>
    </xf>
    <xf numFmtId="178" fontId="3" fillId="0" borderId="71" xfId="0" applyNumberFormat="1" applyFont="1" applyFill="1" applyBorder="1" applyAlignment="1" applyProtection="1">
      <alignment horizontal="center" vertical="center"/>
    </xf>
    <xf numFmtId="178" fontId="3" fillId="0" borderId="72" xfId="0" applyNumberFormat="1" applyFont="1" applyFill="1" applyBorder="1" applyAlignment="1" applyProtection="1">
      <alignment horizontal="center" vertical="center"/>
    </xf>
    <xf numFmtId="0" fontId="7" fillId="3" borderId="45" xfId="0" applyFont="1" applyFill="1" applyBorder="1" applyAlignment="1" applyProtection="1">
      <alignment horizontal="center" vertical="center" shrinkToFit="1"/>
      <protection locked="0"/>
    </xf>
    <xf numFmtId="0" fontId="7" fillId="3" borderId="47" xfId="0" applyFont="1" applyFill="1" applyBorder="1" applyAlignment="1" applyProtection="1">
      <alignment horizontal="center" vertical="center" shrinkToFit="1"/>
      <protection locked="0"/>
    </xf>
    <xf numFmtId="180" fontId="3" fillId="0" borderId="45" xfId="0" applyNumberFormat="1" applyFont="1" applyFill="1" applyBorder="1" applyAlignment="1" applyProtection="1">
      <alignment horizontal="center" vertical="center"/>
    </xf>
    <xf numFmtId="180" fontId="3" fillId="0" borderId="47" xfId="0" applyNumberFormat="1" applyFont="1" applyFill="1" applyBorder="1" applyAlignment="1" applyProtection="1">
      <alignment horizontal="center" vertical="center"/>
    </xf>
    <xf numFmtId="0" fontId="7" fillId="3" borderId="44" xfId="0" applyFont="1" applyFill="1" applyBorder="1" applyAlignment="1" applyProtection="1">
      <alignment horizontal="left" vertical="center" shrinkToFit="1"/>
      <protection locked="0"/>
    </xf>
    <xf numFmtId="0" fontId="7" fillId="3" borderId="47" xfId="0" applyFont="1" applyFill="1" applyBorder="1" applyAlignment="1" applyProtection="1">
      <alignment horizontal="left" vertical="center" shrinkToFit="1"/>
      <protection locked="0"/>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178" fontId="3" fillId="0" borderId="13" xfId="0" applyNumberFormat="1" applyFont="1" applyFill="1" applyBorder="1" applyAlignment="1" applyProtection="1">
      <alignment horizontal="center" vertical="center"/>
    </xf>
    <xf numFmtId="178" fontId="3" fillId="0" borderId="68" xfId="0" applyNumberFormat="1" applyFont="1" applyFill="1" applyBorder="1" applyAlignment="1" applyProtection="1">
      <alignment horizontal="center" vertical="center"/>
    </xf>
    <xf numFmtId="178" fontId="3" fillId="0" borderId="49" xfId="0" applyNumberFormat="1" applyFont="1" applyFill="1" applyBorder="1" applyAlignment="1" applyProtection="1">
      <alignment horizontal="center" vertical="center"/>
    </xf>
    <xf numFmtId="178" fontId="3" fillId="0" borderId="64" xfId="0" applyNumberFormat="1" applyFont="1" applyFill="1" applyBorder="1" applyAlignment="1" applyProtection="1">
      <alignment horizontal="center" vertical="center"/>
    </xf>
    <xf numFmtId="178" fontId="3" fillId="0" borderId="69" xfId="0" applyNumberFormat="1" applyFont="1" applyFill="1" applyBorder="1" applyAlignment="1" applyProtection="1">
      <alignment horizontal="center" vertical="center"/>
    </xf>
    <xf numFmtId="0" fontId="3" fillId="0" borderId="34" xfId="0" applyFont="1" applyFill="1" applyBorder="1" applyAlignment="1">
      <alignment horizontal="center" vertical="center" wrapText="1"/>
    </xf>
    <xf numFmtId="0" fontId="3" fillId="0" borderId="34"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22" xfId="0" applyFont="1" applyFill="1" applyBorder="1" applyAlignment="1">
      <alignment horizontal="center" vertical="center"/>
    </xf>
    <xf numFmtId="0" fontId="7" fillId="3" borderId="39" xfId="0" applyFont="1" applyFill="1" applyBorder="1" applyAlignment="1" applyProtection="1">
      <alignment horizontal="center" vertical="center" shrinkToFit="1"/>
      <protection locked="0"/>
    </xf>
    <xf numFmtId="0" fontId="7" fillId="3" borderId="39" xfId="0" applyFont="1" applyFill="1" applyBorder="1" applyAlignment="1" applyProtection="1">
      <alignment horizontal="center" vertical="center" shrinkToFit="1"/>
    </xf>
    <xf numFmtId="178" fontId="3" fillId="0" borderId="39" xfId="0" applyNumberFormat="1" applyFont="1" applyFill="1" applyBorder="1" applyAlignment="1" applyProtection="1">
      <alignment horizontal="center" vertical="center"/>
    </xf>
    <xf numFmtId="178" fontId="3" fillId="0" borderId="32" xfId="0" applyNumberFormat="1" applyFont="1" applyFill="1" applyBorder="1" applyAlignment="1" applyProtection="1">
      <alignment horizontal="center" vertical="center"/>
    </xf>
    <xf numFmtId="178" fontId="3" fillId="0" borderId="43" xfId="0" applyNumberFormat="1" applyFont="1" applyFill="1" applyBorder="1" applyAlignment="1" applyProtection="1">
      <alignment horizontal="center" vertical="center"/>
    </xf>
    <xf numFmtId="0" fontId="7" fillId="3" borderId="64" xfId="0" applyFont="1" applyFill="1" applyBorder="1" applyAlignment="1" applyProtection="1">
      <alignment horizontal="center" vertical="center" shrinkToFit="1"/>
      <protection locked="0"/>
    </xf>
    <xf numFmtId="0" fontId="7" fillId="3" borderId="64" xfId="0" applyFont="1" applyFill="1" applyBorder="1" applyAlignment="1" applyProtection="1">
      <alignment horizontal="center" vertical="center" shrinkToFit="1"/>
    </xf>
    <xf numFmtId="178" fontId="3" fillId="0" borderId="66" xfId="0" applyNumberFormat="1" applyFont="1" applyFill="1" applyBorder="1" applyAlignment="1" applyProtection="1">
      <alignment horizontal="center" vertical="center"/>
    </xf>
    <xf numFmtId="178" fontId="3" fillId="0" borderId="67" xfId="0" applyNumberFormat="1" applyFont="1" applyFill="1" applyBorder="1" applyAlignment="1" applyProtection="1">
      <alignment horizontal="center" vertical="center"/>
    </xf>
    <xf numFmtId="178" fontId="3" fillId="0" borderId="70" xfId="0" applyNumberFormat="1" applyFont="1" applyFill="1" applyBorder="1" applyAlignment="1" applyProtection="1">
      <alignment horizontal="center" vertical="center"/>
    </xf>
    <xf numFmtId="178" fontId="3" fillId="0" borderId="109" xfId="0" applyNumberFormat="1" applyFont="1" applyFill="1" applyBorder="1" applyAlignment="1" applyProtection="1">
      <alignment horizontal="center" vertical="center"/>
    </xf>
    <xf numFmtId="0" fontId="3" fillId="0" borderId="65"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3" fillId="0" borderId="65" xfId="0" applyFont="1" applyFill="1" applyBorder="1" applyAlignment="1">
      <alignment horizontal="center" vertical="center" wrapText="1"/>
    </xf>
    <xf numFmtId="0" fontId="13" fillId="0" borderId="59"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60"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7" fillId="3" borderId="42" xfId="0" applyFont="1" applyFill="1" applyBorder="1" applyAlignment="1" applyProtection="1">
      <alignment horizontal="center" vertical="center" shrinkToFit="1"/>
      <protection locked="0"/>
    </xf>
    <xf numFmtId="0" fontId="7" fillId="3" borderId="50" xfId="0" applyFont="1" applyFill="1" applyBorder="1" applyAlignment="1" applyProtection="1">
      <alignment horizontal="center" vertical="center" shrinkToFit="1"/>
      <protection locked="0"/>
    </xf>
    <xf numFmtId="180" fontId="3" fillId="0" borderId="42" xfId="0" applyNumberFormat="1" applyFont="1" applyFill="1" applyBorder="1" applyAlignment="1" applyProtection="1">
      <alignment horizontal="center" vertical="center"/>
    </xf>
    <xf numFmtId="180" fontId="3" fillId="0" borderId="50" xfId="0" applyNumberFormat="1" applyFont="1" applyFill="1" applyBorder="1" applyAlignment="1" applyProtection="1">
      <alignment horizontal="center" vertical="center"/>
    </xf>
    <xf numFmtId="0" fontId="7" fillId="3" borderId="32" xfId="0" applyFont="1" applyFill="1" applyBorder="1" applyAlignment="1" applyProtection="1">
      <alignment horizontal="center" vertical="center" shrinkToFit="1"/>
      <protection locked="0"/>
    </xf>
    <xf numFmtId="0" fontId="7" fillId="3" borderId="32" xfId="0" applyFont="1" applyFill="1" applyBorder="1" applyAlignment="1" applyProtection="1">
      <alignment horizontal="center" vertical="center" shrinkToFit="1"/>
    </xf>
    <xf numFmtId="0" fontId="7" fillId="3" borderId="78" xfId="0" applyFont="1" applyFill="1" applyBorder="1" applyAlignment="1" applyProtection="1">
      <alignment horizontal="center" vertical="center" shrinkToFit="1"/>
      <protection locked="0"/>
    </xf>
    <xf numFmtId="0" fontId="7" fillId="3" borderId="74" xfId="0" applyFont="1" applyFill="1" applyBorder="1" applyAlignment="1" applyProtection="1">
      <alignment horizontal="center" vertical="center" shrinkToFit="1"/>
      <protection locked="0"/>
    </xf>
    <xf numFmtId="0" fontId="7" fillId="3" borderId="75" xfId="0" applyFont="1" applyFill="1" applyBorder="1" applyAlignment="1" applyProtection="1">
      <alignment horizontal="center" vertical="center" shrinkToFit="1"/>
      <protection locked="0"/>
    </xf>
    <xf numFmtId="0" fontId="7" fillId="3" borderId="33" xfId="0" applyFont="1" applyFill="1" applyBorder="1" applyAlignment="1" applyProtection="1">
      <alignment horizontal="center" vertical="center" shrinkToFit="1"/>
      <protection locked="0"/>
    </xf>
    <xf numFmtId="0" fontId="7" fillId="3" borderId="64" xfId="0" applyFont="1" applyFill="1" applyBorder="1" applyAlignment="1" applyProtection="1">
      <alignment horizontal="center" vertical="center"/>
      <protection locked="0"/>
    </xf>
    <xf numFmtId="178" fontId="3" fillId="0" borderId="33" xfId="0" applyNumberFormat="1" applyFont="1" applyFill="1" applyBorder="1" applyAlignment="1" applyProtection="1">
      <alignment horizontal="center" vertical="center"/>
    </xf>
    <xf numFmtId="178" fontId="3" fillId="0" borderId="46" xfId="0" applyNumberFormat="1" applyFont="1" applyFill="1" applyBorder="1" applyAlignment="1" applyProtection="1">
      <alignment horizontal="center" vertical="center"/>
    </xf>
    <xf numFmtId="0" fontId="3" fillId="0" borderId="0" xfId="0" applyFont="1" applyFill="1" applyAlignment="1">
      <alignment horizontal="center" vertical="center"/>
    </xf>
    <xf numFmtId="0" fontId="13" fillId="0" borderId="34" xfId="0" applyFont="1" applyFill="1" applyBorder="1" applyAlignment="1">
      <alignment horizontal="center" vertical="center" wrapText="1"/>
    </xf>
    <xf numFmtId="0" fontId="13" fillId="0" borderId="34" xfId="0" applyFont="1" applyFill="1" applyBorder="1" applyAlignment="1">
      <alignment horizontal="center" vertical="center"/>
    </xf>
    <xf numFmtId="0" fontId="13" fillId="0" borderId="20" xfId="0" applyFont="1" applyFill="1" applyBorder="1" applyAlignment="1">
      <alignment horizontal="center" vertical="center"/>
    </xf>
    <xf numFmtId="38" fontId="3" fillId="0" borderId="20" xfId="1" applyFont="1" applyFill="1" applyBorder="1" applyAlignment="1">
      <alignment horizontal="center" vertical="center"/>
    </xf>
    <xf numFmtId="38" fontId="3" fillId="0" borderId="53" xfId="1" applyFont="1" applyFill="1" applyBorder="1" applyAlignment="1">
      <alignment horizontal="center" vertical="center"/>
    </xf>
    <xf numFmtId="0" fontId="3" fillId="0" borderId="79"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3" xfId="0" applyFont="1" applyFill="1" applyBorder="1" applyAlignment="1">
      <alignment horizontal="center" vertical="center"/>
    </xf>
    <xf numFmtId="0" fontId="7" fillId="3" borderId="39" xfId="0" applyFont="1" applyFill="1" applyBorder="1" applyAlignment="1" applyProtection="1">
      <alignment horizontal="center" vertical="center"/>
      <protection locked="0"/>
    </xf>
    <xf numFmtId="0" fontId="3" fillId="3" borderId="45" xfId="0" applyFont="1" applyFill="1" applyBorder="1" applyAlignment="1" applyProtection="1">
      <alignment horizontal="center" vertical="center"/>
    </xf>
    <xf numFmtId="0" fontId="3" fillId="3" borderId="81" xfId="0" applyFont="1" applyFill="1" applyBorder="1" applyAlignment="1" applyProtection="1">
      <alignment horizontal="center" vertical="center"/>
    </xf>
    <xf numFmtId="0" fontId="7" fillId="5" borderId="33" xfId="1" applyNumberFormat="1" applyFont="1" applyFill="1" applyBorder="1" applyAlignment="1" applyProtection="1">
      <alignment horizontal="center" vertical="center"/>
      <protection locked="0"/>
    </xf>
    <xf numFmtId="0" fontId="7" fillId="5" borderId="45" xfId="1" applyNumberFormat="1" applyFont="1" applyFill="1" applyBorder="1" applyAlignment="1" applyProtection="1">
      <alignment horizontal="center" vertical="center"/>
      <protection locked="0"/>
    </xf>
    <xf numFmtId="0" fontId="7" fillId="5" borderId="75" xfId="1" applyNumberFormat="1" applyFont="1" applyFill="1" applyBorder="1" applyAlignment="1" applyProtection="1">
      <alignment horizontal="center" vertical="center"/>
      <protection locked="0"/>
    </xf>
    <xf numFmtId="0" fontId="7" fillId="5" borderId="78" xfId="1" applyNumberFormat="1" applyFont="1" applyFill="1" applyBorder="1" applyAlignment="1" applyProtection="1">
      <alignment horizontal="center" vertical="center"/>
      <protection locked="0"/>
    </xf>
    <xf numFmtId="0" fontId="8" fillId="3" borderId="47" xfId="0" applyFont="1" applyFill="1" applyBorder="1" applyAlignment="1" applyProtection="1">
      <alignment horizontal="left" vertical="center" shrinkToFit="1"/>
      <protection locked="0"/>
    </xf>
    <xf numFmtId="0" fontId="7" fillId="5" borderId="47" xfId="1" applyNumberFormat="1" applyFont="1" applyFill="1" applyBorder="1" applyAlignment="1" applyProtection="1">
      <alignment horizontal="center" vertical="center"/>
      <protection locked="0"/>
    </xf>
    <xf numFmtId="0" fontId="7" fillId="3" borderId="48" xfId="0" applyFont="1" applyFill="1" applyBorder="1" applyAlignment="1" applyProtection="1">
      <alignment horizontal="left" vertical="center" shrinkToFit="1"/>
      <protection locked="0"/>
    </xf>
    <xf numFmtId="0" fontId="8" fillId="3" borderId="49" xfId="0" applyFont="1" applyFill="1" applyBorder="1" applyAlignment="1" applyProtection="1">
      <alignment horizontal="left" vertical="center" shrinkToFit="1"/>
      <protection locked="0"/>
    </xf>
    <xf numFmtId="0" fontId="7" fillId="3" borderId="87" xfId="0" applyFont="1" applyFill="1" applyBorder="1" applyAlignment="1" applyProtection="1">
      <alignment horizontal="center" vertical="center" shrinkToFit="1"/>
      <protection locked="0"/>
    </xf>
    <xf numFmtId="0" fontId="7" fillId="3" borderId="84" xfId="0" applyFont="1" applyFill="1" applyBorder="1" applyAlignment="1" applyProtection="1">
      <alignment horizontal="center" vertical="center" shrinkToFit="1"/>
      <protection locked="0"/>
    </xf>
    <xf numFmtId="0" fontId="7" fillId="3" borderId="85" xfId="0" applyFont="1" applyFill="1" applyBorder="1" applyAlignment="1" applyProtection="1">
      <alignment horizontal="center" vertical="center" shrinkToFit="1"/>
      <protection locked="0"/>
    </xf>
    <xf numFmtId="0" fontId="7" fillId="5" borderId="85" xfId="1" applyNumberFormat="1" applyFont="1" applyFill="1" applyBorder="1" applyAlignment="1" applyProtection="1">
      <alignment horizontal="center" vertical="center"/>
      <protection locked="0"/>
    </xf>
    <xf numFmtId="0" fontId="7" fillId="5" borderId="87" xfId="1" applyNumberFormat="1" applyFont="1" applyFill="1" applyBorder="1" applyAlignment="1" applyProtection="1">
      <alignment horizontal="center" vertical="center"/>
      <protection locked="0"/>
    </xf>
    <xf numFmtId="0" fontId="7" fillId="5" borderId="49" xfId="1" applyNumberFormat="1" applyFont="1" applyFill="1" applyBorder="1" applyAlignment="1" applyProtection="1">
      <alignment horizontal="center" vertical="center"/>
      <protection locked="0"/>
    </xf>
    <xf numFmtId="0" fontId="7" fillId="5" borderId="64" xfId="1" applyNumberFormat="1" applyFont="1" applyFill="1" applyBorder="1" applyAlignment="1" applyProtection="1">
      <alignment horizontal="center" vertical="center"/>
      <protection locked="0"/>
    </xf>
    <xf numFmtId="0" fontId="3" fillId="3" borderId="68" xfId="0" applyFont="1" applyFill="1" applyBorder="1" applyAlignment="1" applyProtection="1">
      <alignment horizontal="center" vertical="center"/>
    </xf>
    <xf numFmtId="0" fontId="3" fillId="3" borderId="86" xfId="0" applyFont="1" applyFill="1" applyBorder="1" applyAlignment="1" applyProtection="1">
      <alignment horizontal="center" vertical="center"/>
    </xf>
    <xf numFmtId="0" fontId="7" fillId="5" borderId="68" xfId="1" applyNumberFormat="1" applyFont="1" applyFill="1" applyBorder="1" applyAlignment="1" applyProtection="1">
      <alignment horizontal="center" vertical="center"/>
      <protection locked="0"/>
    </xf>
    <xf numFmtId="0" fontId="7" fillId="5" borderId="80" xfId="1" applyNumberFormat="1" applyFont="1" applyFill="1" applyBorder="1" applyAlignment="1" applyProtection="1">
      <alignment horizontal="center" vertical="center"/>
      <protection locked="0"/>
    </xf>
    <xf numFmtId="0" fontId="7" fillId="5" borderId="86" xfId="1" applyNumberFormat="1" applyFont="1" applyFill="1" applyBorder="1" applyAlignment="1" applyProtection="1">
      <alignment horizontal="center" vertical="center"/>
      <protection locked="0"/>
    </xf>
    <xf numFmtId="0" fontId="7" fillId="3" borderId="41" xfId="0" applyFont="1" applyFill="1" applyBorder="1" applyAlignment="1" applyProtection="1">
      <alignment horizontal="left" vertical="center" shrinkToFit="1"/>
      <protection locked="0"/>
    </xf>
    <xf numFmtId="0" fontId="8" fillId="3" borderId="50" xfId="0" applyFont="1" applyFill="1" applyBorder="1" applyAlignment="1" applyProtection="1">
      <alignment horizontal="left" vertical="center" shrinkToFit="1"/>
      <protection locked="0"/>
    </xf>
    <xf numFmtId="0" fontId="7" fillId="3" borderId="88" xfId="0" applyFont="1" applyFill="1" applyBorder="1" applyAlignment="1" applyProtection="1">
      <alignment horizontal="center" vertical="center" shrinkToFit="1"/>
      <protection locked="0"/>
    </xf>
    <xf numFmtId="0" fontId="7" fillId="3" borderId="76" xfId="0" applyFont="1" applyFill="1" applyBorder="1" applyAlignment="1" applyProtection="1">
      <alignment horizontal="center" vertical="center" shrinkToFit="1"/>
      <protection locked="0"/>
    </xf>
    <xf numFmtId="0" fontId="7" fillId="3" borderId="77" xfId="0" applyFont="1" applyFill="1" applyBorder="1" applyAlignment="1" applyProtection="1">
      <alignment horizontal="center" vertical="center" shrinkToFit="1"/>
      <protection locked="0"/>
    </xf>
    <xf numFmtId="0" fontId="3" fillId="0" borderId="60"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89" xfId="0" applyFont="1" applyFill="1" applyBorder="1" applyAlignment="1">
      <alignment horizontal="center" vertical="center"/>
    </xf>
    <xf numFmtId="0" fontId="3" fillId="0" borderId="90" xfId="0" applyFont="1" applyFill="1" applyBorder="1" applyAlignment="1">
      <alignment horizontal="center" vertical="center"/>
    </xf>
    <xf numFmtId="0" fontId="3" fillId="0" borderId="39" xfId="0" applyFont="1" applyFill="1" applyBorder="1" applyAlignment="1">
      <alignment horizontal="center" vertical="center" wrapText="1"/>
    </xf>
    <xf numFmtId="0" fontId="3" fillId="0" borderId="39" xfId="0" applyFont="1" applyFill="1" applyBorder="1" applyAlignment="1">
      <alignment horizontal="center" vertical="center"/>
    </xf>
    <xf numFmtId="0" fontId="3" fillId="0" borderId="70" xfId="0" applyFont="1" applyFill="1" applyBorder="1" applyAlignment="1">
      <alignment horizontal="center" vertical="center"/>
    </xf>
    <xf numFmtId="0" fontId="7" fillId="3" borderId="49" xfId="0" applyFont="1" applyFill="1" applyBorder="1" applyAlignment="1" applyProtection="1">
      <alignment horizontal="left" vertical="center" shrinkToFit="1"/>
      <protection locked="0"/>
    </xf>
    <xf numFmtId="0" fontId="7" fillId="3" borderId="50" xfId="0" applyFont="1" applyFill="1" applyBorder="1" applyAlignment="1" applyProtection="1">
      <alignment horizontal="left" vertical="center" shrinkToFit="1"/>
      <protection locked="0"/>
    </xf>
    <xf numFmtId="2" fontId="6" fillId="0" borderId="0" xfId="0" applyNumberFormat="1" applyFont="1" applyFill="1" applyAlignment="1">
      <alignment horizontal="center" vertical="center"/>
    </xf>
    <xf numFmtId="0" fontId="3" fillId="0" borderId="25"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177" fontId="3" fillId="0" borderId="23" xfId="0" applyNumberFormat="1" applyFont="1" applyFill="1" applyBorder="1" applyAlignment="1">
      <alignment horizontal="center" vertical="center"/>
    </xf>
    <xf numFmtId="177" fontId="3" fillId="0" borderId="24" xfId="0" applyNumberFormat="1" applyFont="1" applyFill="1" applyBorder="1" applyAlignment="1">
      <alignment horizontal="center" vertical="center"/>
    </xf>
    <xf numFmtId="0" fontId="3" fillId="0" borderId="91"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93" xfId="0" applyFont="1" applyFill="1" applyBorder="1" applyAlignment="1">
      <alignment horizontal="center" vertical="center"/>
    </xf>
    <xf numFmtId="0" fontId="3" fillId="0" borderId="35"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7" fillId="5" borderId="77" xfId="1" applyNumberFormat="1" applyFont="1" applyFill="1" applyBorder="1" applyAlignment="1" applyProtection="1">
      <alignment horizontal="center" vertical="center"/>
      <protection locked="0"/>
    </xf>
    <xf numFmtId="0" fontId="7" fillId="5" borderId="88" xfId="1" applyNumberFormat="1" applyFont="1" applyFill="1" applyBorder="1" applyAlignment="1" applyProtection="1">
      <alignment horizontal="center" vertical="center"/>
      <protection locked="0"/>
    </xf>
    <xf numFmtId="0" fontId="7" fillId="5" borderId="50" xfId="1" applyNumberFormat="1" applyFont="1" applyFill="1" applyBorder="1" applyAlignment="1" applyProtection="1">
      <alignment horizontal="center" vertical="center"/>
      <protection locked="0"/>
    </xf>
    <xf numFmtId="0" fontId="7" fillId="5" borderId="32" xfId="1" applyNumberFormat="1" applyFont="1" applyFill="1" applyBorder="1" applyAlignment="1" applyProtection="1">
      <alignment horizontal="center" vertical="center"/>
      <protection locked="0"/>
    </xf>
    <xf numFmtId="178" fontId="3" fillId="0" borderId="16" xfId="0" applyNumberFormat="1" applyFont="1" applyFill="1" applyBorder="1" applyAlignment="1" applyProtection="1">
      <alignment horizontal="center" vertical="center"/>
    </xf>
    <xf numFmtId="178" fontId="3" fillId="0" borderId="73" xfId="0" applyNumberFormat="1" applyFont="1" applyFill="1" applyBorder="1" applyAlignment="1" applyProtection="1">
      <alignment horizontal="center" vertical="center"/>
    </xf>
    <xf numFmtId="0" fontId="7" fillId="3" borderId="63" xfId="0" applyFont="1" applyFill="1" applyBorder="1" applyAlignment="1" applyProtection="1">
      <alignment horizontal="left" vertical="center" shrinkToFit="1"/>
      <protection locked="0"/>
    </xf>
    <xf numFmtId="0" fontId="3" fillId="0" borderId="51"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37" xfId="0" applyFont="1" applyFill="1" applyBorder="1" applyAlignment="1">
      <alignment horizontal="center" vertical="center"/>
    </xf>
    <xf numFmtId="0" fontId="8" fillId="0" borderId="61" xfId="0" applyFont="1" applyFill="1" applyBorder="1" applyAlignment="1">
      <alignment horizontal="center" vertical="center"/>
    </xf>
    <xf numFmtId="38" fontId="3" fillId="0" borderId="94" xfId="1" applyFont="1" applyFill="1" applyBorder="1" applyAlignment="1">
      <alignment horizontal="center" vertical="center"/>
    </xf>
    <xf numFmtId="38" fontId="3" fillId="0" borderId="95" xfId="1" applyFont="1" applyFill="1" applyBorder="1" applyAlignment="1">
      <alignment horizontal="center" vertical="center"/>
    </xf>
    <xf numFmtId="38" fontId="3" fillId="0" borderId="38" xfId="1" applyFont="1" applyFill="1" applyBorder="1" applyAlignment="1">
      <alignment horizontal="center" vertical="center"/>
    </xf>
    <xf numFmtId="38" fontId="3" fillId="0" borderId="96" xfId="1" applyFont="1" applyFill="1" applyBorder="1" applyAlignment="1">
      <alignment horizontal="center" vertical="center"/>
    </xf>
    <xf numFmtId="0" fontId="3" fillId="0" borderId="97" xfId="0" applyFont="1" applyFill="1" applyBorder="1" applyAlignment="1">
      <alignment horizontal="center" vertical="center"/>
    </xf>
    <xf numFmtId="0" fontId="3" fillId="0" borderId="9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3" borderId="32" xfId="0" applyFont="1" applyFill="1" applyBorder="1" applyAlignment="1" applyProtection="1">
      <alignment horizontal="center" vertical="center"/>
    </xf>
    <xf numFmtId="0" fontId="3" fillId="3" borderId="88" xfId="0" applyFont="1" applyFill="1" applyBorder="1" applyAlignment="1" applyProtection="1">
      <alignment horizontal="center" vertical="center"/>
    </xf>
    <xf numFmtId="0" fontId="7" fillId="5" borderId="42" xfId="1" applyNumberFormat="1" applyFont="1" applyFill="1" applyBorder="1" applyAlignment="1" applyProtection="1">
      <alignment horizontal="center" vertical="center"/>
      <protection locked="0"/>
    </xf>
    <xf numFmtId="0" fontId="7" fillId="3" borderId="32" xfId="0"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7" fillId="3" borderId="62" xfId="0" applyFont="1" applyFill="1" applyBorder="1" applyAlignment="1" applyProtection="1">
      <alignment horizontal="left" vertical="center" shrinkToFit="1"/>
      <protection locked="0"/>
    </xf>
    <xf numFmtId="0" fontId="7" fillId="3" borderId="68" xfId="0" applyFont="1" applyFill="1" applyBorder="1" applyAlignment="1" applyProtection="1">
      <alignment horizontal="center" vertical="center" shrinkToFit="1"/>
      <protection locked="0"/>
    </xf>
    <xf numFmtId="0" fontId="7" fillId="3" borderId="49" xfId="0" applyFont="1" applyFill="1" applyBorder="1" applyAlignment="1" applyProtection="1">
      <alignment horizontal="center" vertical="center" shrinkToFit="1"/>
      <protection locked="0"/>
    </xf>
    <xf numFmtId="180" fontId="3" fillId="0" borderId="68" xfId="0" applyNumberFormat="1" applyFont="1" applyFill="1" applyBorder="1" applyAlignment="1" applyProtection="1">
      <alignment horizontal="center" vertical="center"/>
    </xf>
    <xf numFmtId="180" fontId="3" fillId="0" borderId="49" xfId="0" applyNumberFormat="1" applyFont="1" applyFill="1" applyBorder="1" applyAlignment="1" applyProtection="1">
      <alignment horizontal="center" vertical="center"/>
    </xf>
    <xf numFmtId="0" fontId="7" fillId="3" borderId="86" xfId="0" applyFont="1" applyFill="1" applyBorder="1" applyAlignment="1" applyProtection="1">
      <alignment horizontal="center" vertical="center" shrinkToFit="1"/>
      <protection locked="0"/>
    </xf>
    <xf numFmtId="0" fontId="7" fillId="3" borderId="80" xfId="0" applyFont="1" applyFill="1" applyBorder="1" applyAlignment="1" applyProtection="1">
      <alignment horizontal="center" vertical="center" shrinkToFit="1"/>
      <protection locked="0"/>
    </xf>
    <xf numFmtId="0" fontId="7" fillId="3" borderId="114" xfId="0" applyFont="1" applyFill="1" applyBorder="1" applyAlignment="1" applyProtection="1">
      <alignment horizontal="left" vertical="center" shrinkToFit="1"/>
      <protection locked="0"/>
    </xf>
    <xf numFmtId="0" fontId="7" fillId="3" borderId="68" xfId="0" applyFont="1" applyFill="1" applyBorder="1" applyAlignment="1" applyProtection="1">
      <alignment horizontal="center" vertical="center"/>
      <protection locked="0"/>
    </xf>
    <xf numFmtId="0" fontId="7" fillId="3" borderId="49" xfId="0" applyFont="1" applyFill="1" applyBorder="1" applyAlignment="1" applyProtection="1">
      <alignment horizontal="center" vertical="center"/>
      <protection locked="0"/>
    </xf>
    <xf numFmtId="0" fontId="3" fillId="3" borderId="49" xfId="0" applyFont="1" applyFill="1" applyBorder="1" applyAlignment="1" applyProtection="1">
      <alignment horizontal="center" vertical="center"/>
    </xf>
    <xf numFmtId="0" fontId="7" fillId="3" borderId="68" xfId="0" applyFont="1" applyFill="1" applyBorder="1" applyAlignment="1" applyProtection="1">
      <alignment horizontal="center" vertical="center" shrinkToFit="1"/>
    </xf>
    <xf numFmtId="0" fontId="7" fillId="3" borderId="49" xfId="0" applyFont="1" applyFill="1" applyBorder="1" applyAlignment="1" applyProtection="1">
      <alignment horizontal="center" vertical="center" shrinkToFit="1"/>
    </xf>
    <xf numFmtId="178" fontId="3" fillId="0" borderId="42" xfId="0" applyNumberFormat="1" applyFont="1" applyFill="1" applyBorder="1" applyAlignment="1" applyProtection="1">
      <alignment horizontal="center" vertical="center"/>
    </xf>
    <xf numFmtId="178" fontId="3" fillId="0" borderId="50" xfId="0" applyNumberFormat="1" applyFont="1" applyFill="1" applyBorder="1" applyAlignment="1" applyProtection="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Fill="1" applyBorder="1" applyAlignment="1" applyProtection="1">
      <alignment horizontal="center" vertical="center"/>
    </xf>
    <xf numFmtId="0" fontId="3" fillId="0" borderId="24" xfId="0" applyFont="1" applyFill="1" applyBorder="1" applyAlignment="1" applyProtection="1">
      <alignment horizontal="center" vertical="center"/>
    </xf>
    <xf numFmtId="177" fontId="3" fillId="0" borderId="23" xfId="0" applyNumberFormat="1" applyFont="1" applyFill="1" applyBorder="1" applyAlignment="1" applyProtection="1">
      <alignment horizontal="center" vertical="center"/>
    </xf>
    <xf numFmtId="177" fontId="3" fillId="0" borderId="24" xfId="0" applyNumberFormat="1" applyFont="1" applyFill="1" applyBorder="1" applyAlignment="1" applyProtection="1">
      <alignment horizontal="center" vertical="center"/>
    </xf>
    <xf numFmtId="178" fontId="3" fillId="0" borderId="102" xfId="0" applyNumberFormat="1" applyFont="1" applyFill="1" applyBorder="1" applyAlignment="1" applyProtection="1">
      <alignment horizontal="center" vertical="center"/>
    </xf>
    <xf numFmtId="178" fontId="3" fillId="0" borderId="112" xfId="0" applyNumberFormat="1" applyFont="1" applyFill="1" applyBorder="1" applyAlignment="1" applyProtection="1">
      <alignment horizontal="center" vertical="center"/>
    </xf>
    <xf numFmtId="177" fontId="3" fillId="0" borderId="23" xfId="0" applyNumberFormat="1" applyFont="1" applyBorder="1" applyAlignment="1">
      <alignment horizontal="center" vertical="center"/>
    </xf>
    <xf numFmtId="177" fontId="3" fillId="0" borderId="24" xfId="0" applyNumberFormat="1" applyFont="1" applyBorder="1" applyAlignment="1">
      <alignment horizontal="center" vertical="center"/>
    </xf>
    <xf numFmtId="0" fontId="7" fillId="3" borderId="102" xfId="0" applyFont="1" applyFill="1" applyBorder="1" applyAlignment="1" applyProtection="1">
      <alignment horizontal="center" vertical="center" shrinkToFit="1"/>
    </xf>
    <xf numFmtId="0" fontId="7" fillId="3" borderId="103" xfId="0" applyFont="1" applyFill="1" applyBorder="1" applyAlignment="1" applyProtection="1">
      <alignment horizontal="center" vertical="center" shrinkToFit="1"/>
    </xf>
    <xf numFmtId="0" fontId="3" fillId="0" borderId="23" xfId="0" applyFont="1" applyBorder="1" applyAlignment="1" applyProtection="1">
      <alignment horizontal="center" vertical="center"/>
    </xf>
    <xf numFmtId="0" fontId="3" fillId="0" borderId="24" xfId="0" applyFont="1" applyBorder="1" applyAlignment="1" applyProtection="1">
      <alignment horizontal="center" vertical="center"/>
    </xf>
    <xf numFmtId="178" fontId="3" fillId="0" borderId="13" xfId="0" applyNumberFormat="1" applyFont="1" applyBorder="1" applyAlignment="1">
      <alignment horizontal="center" vertical="center"/>
    </xf>
    <xf numFmtId="0" fontId="4" fillId="0" borderId="51" xfId="0" applyFont="1" applyBorder="1" applyAlignment="1">
      <alignment horizontal="center" vertical="center" textRotation="255" shrinkToFit="1"/>
    </xf>
    <xf numFmtId="0" fontId="4" fillId="0" borderId="17"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178" fontId="9" fillId="0" borderId="5" xfId="0" applyNumberFormat="1" applyFont="1" applyBorder="1" applyAlignment="1">
      <alignment horizontal="center" vertical="center"/>
    </xf>
    <xf numFmtId="0" fontId="9" fillId="0" borderId="5" xfId="0" applyNumberFormat="1" applyFont="1" applyBorder="1" applyAlignment="1">
      <alignment horizontal="center" vertical="center" shrinkToFit="1"/>
    </xf>
    <xf numFmtId="178" fontId="3" fillId="0" borderId="4" xfId="0" applyNumberFormat="1" applyFont="1" applyBorder="1" applyAlignment="1">
      <alignment horizontal="center" vertical="center"/>
    </xf>
    <xf numFmtId="178" fontId="3" fillId="0" borderId="45" xfId="0" applyNumberFormat="1" applyFont="1" applyBorder="1" applyAlignment="1">
      <alignment horizontal="center" vertical="center"/>
    </xf>
    <xf numFmtId="178" fontId="3" fillId="0" borderId="47" xfId="0" applyNumberFormat="1" applyFont="1" applyBorder="1" applyAlignment="1">
      <alignment horizontal="center" vertical="center"/>
    </xf>
    <xf numFmtId="178" fontId="3" fillId="0" borderId="104" xfId="0" applyNumberFormat="1" applyFont="1" applyBorder="1" applyAlignment="1">
      <alignment horizontal="center" vertical="center"/>
    </xf>
    <xf numFmtId="178" fontId="3" fillId="0" borderId="105" xfId="0" applyNumberFormat="1" applyFont="1" applyBorder="1" applyAlignment="1">
      <alignment horizontal="center" vertical="center"/>
    </xf>
    <xf numFmtId="178" fontId="3" fillId="0" borderId="106" xfId="0" applyNumberFormat="1" applyFont="1" applyBorder="1" applyAlignment="1">
      <alignment horizontal="center" vertical="center"/>
    </xf>
    <xf numFmtId="178" fontId="3" fillId="0" borderId="61" xfId="0" applyNumberFormat="1" applyFont="1" applyBorder="1" applyAlignment="1">
      <alignment horizontal="center" vertical="center"/>
    </xf>
    <xf numFmtId="178" fontId="3" fillId="0" borderId="71" xfId="0" applyNumberFormat="1" applyFont="1" applyBorder="1" applyAlignment="1">
      <alignment horizontal="center" vertical="center"/>
    </xf>
    <xf numFmtId="178" fontId="3" fillId="0" borderId="72" xfId="0" applyNumberFormat="1" applyFont="1" applyBorder="1" applyAlignment="1">
      <alignment horizontal="center" vertical="center"/>
    </xf>
    <xf numFmtId="0" fontId="7" fillId="3" borderId="44" xfId="0" applyFont="1" applyFill="1" applyBorder="1" applyAlignment="1" applyProtection="1">
      <alignment horizontal="center" vertical="center" shrinkToFit="1"/>
      <protection locked="0"/>
    </xf>
    <xf numFmtId="0" fontId="7" fillId="3" borderId="102" xfId="0" applyFont="1" applyFill="1" applyBorder="1" applyAlignment="1" applyProtection="1">
      <alignment horizontal="center" vertical="center" shrinkToFit="1"/>
      <protection locked="0"/>
    </xf>
    <xf numFmtId="0" fontId="7" fillId="3" borderId="103" xfId="0" applyFont="1" applyFill="1" applyBorder="1" applyAlignment="1" applyProtection="1">
      <alignment horizontal="center" vertical="center" shrinkToFit="1"/>
      <protection locked="0"/>
    </xf>
    <xf numFmtId="178" fontId="3" fillId="2" borderId="45" xfId="0" applyNumberFormat="1" applyFont="1" applyFill="1" applyBorder="1" applyAlignment="1">
      <alignment horizontal="center" vertical="center"/>
    </xf>
    <xf numFmtId="178" fontId="3" fillId="2" borderId="47" xfId="0" applyNumberFormat="1" applyFont="1" applyFill="1" applyBorder="1" applyAlignment="1">
      <alignment horizontal="center" vertical="center"/>
    </xf>
    <xf numFmtId="178" fontId="3" fillId="0" borderId="64" xfId="0" applyNumberFormat="1" applyFont="1" applyBorder="1" applyAlignment="1">
      <alignment horizontal="center" vertical="center"/>
    </xf>
    <xf numFmtId="178" fontId="3" fillId="0" borderId="69" xfId="0" applyNumberFormat="1" applyFont="1" applyBorder="1" applyAlignment="1">
      <alignment horizontal="center" vertical="center"/>
    </xf>
    <xf numFmtId="178" fontId="3" fillId="0" borderId="83" xfId="0" applyNumberFormat="1" applyFont="1" applyBorder="1" applyAlignment="1">
      <alignment horizontal="center" vertical="center"/>
    </xf>
    <xf numFmtId="178" fontId="3" fillId="0" borderId="82" xfId="0" applyNumberFormat="1" applyFont="1" applyBorder="1" applyAlignment="1">
      <alignment horizontal="center" vertical="center"/>
    </xf>
    <xf numFmtId="178" fontId="3" fillId="0" borderId="68" xfId="0" applyNumberFormat="1" applyFont="1" applyBorder="1" applyAlignment="1">
      <alignment horizontal="center" vertical="center"/>
    </xf>
    <xf numFmtId="178" fontId="3" fillId="0" borderId="49" xfId="0" applyNumberFormat="1" applyFont="1" applyBorder="1" applyAlignment="1">
      <alignment horizontal="center" vertical="center"/>
    </xf>
    <xf numFmtId="0" fontId="7" fillId="3" borderId="48" xfId="0" applyFont="1" applyFill="1" applyBorder="1" applyAlignment="1" applyProtection="1">
      <alignment horizontal="center" vertical="center" shrinkToFit="1"/>
      <protection locked="0"/>
    </xf>
    <xf numFmtId="178" fontId="3" fillId="2" borderId="68" xfId="0" applyNumberFormat="1" applyFont="1" applyFill="1" applyBorder="1" applyAlignment="1">
      <alignment horizontal="center" vertical="center"/>
    </xf>
    <xf numFmtId="178" fontId="3" fillId="2" borderId="49" xfId="0" applyNumberFormat="1" applyFont="1" applyFill="1" applyBorder="1" applyAlignment="1">
      <alignment horizontal="center" vertical="center"/>
    </xf>
    <xf numFmtId="0" fontId="7" fillId="3" borderId="41" xfId="0" applyFont="1" applyFill="1" applyBorder="1" applyAlignment="1" applyProtection="1">
      <alignment horizontal="center" vertical="center" shrinkToFit="1"/>
      <protection locked="0"/>
    </xf>
    <xf numFmtId="0" fontId="7" fillId="3" borderId="65" xfId="0" applyFont="1" applyFill="1" applyBorder="1" applyAlignment="1" applyProtection="1">
      <alignment horizontal="center" vertical="center" shrinkToFit="1"/>
      <protection locked="0"/>
    </xf>
    <xf numFmtId="0" fontId="7" fillId="3" borderId="59" xfId="0" applyFont="1" applyFill="1" applyBorder="1" applyAlignment="1" applyProtection="1">
      <alignment horizontal="center" vertical="center" shrinkToFit="1"/>
      <protection locked="0"/>
    </xf>
    <xf numFmtId="178" fontId="3" fillId="2" borderId="42" xfId="0" applyNumberFormat="1" applyFont="1" applyFill="1" applyBorder="1" applyAlignment="1">
      <alignment horizontal="center" vertical="center"/>
    </xf>
    <xf numFmtId="178" fontId="3" fillId="2" borderId="50" xfId="0" applyNumberFormat="1" applyFont="1" applyFill="1" applyBorder="1" applyAlignment="1">
      <alignment horizontal="center" vertical="center"/>
    </xf>
    <xf numFmtId="178" fontId="3" fillId="0" borderId="65" xfId="0" applyNumberFormat="1" applyFont="1" applyBorder="1" applyAlignment="1">
      <alignment horizontal="center" vertical="center"/>
    </xf>
    <xf numFmtId="178" fontId="3" fillId="0" borderId="59" xfId="0" applyNumberFormat="1" applyFont="1" applyBorder="1" applyAlignment="1">
      <alignment horizontal="center" vertical="center"/>
    </xf>
    <xf numFmtId="178" fontId="3" fillId="0" borderId="42" xfId="0" applyNumberFormat="1" applyFont="1" applyBorder="1" applyAlignment="1">
      <alignment horizontal="center" vertical="center"/>
    </xf>
    <xf numFmtId="178" fontId="3" fillId="0" borderId="50" xfId="0" applyNumberFormat="1" applyFont="1" applyBorder="1" applyAlignment="1">
      <alignment horizontal="center" vertical="center"/>
    </xf>
    <xf numFmtId="178" fontId="3" fillId="0" borderId="16" xfId="0" applyNumberFormat="1" applyFont="1" applyBorder="1" applyAlignment="1">
      <alignment horizontal="center" vertical="center"/>
    </xf>
    <xf numFmtId="178" fontId="3" fillId="0" borderId="73" xfId="0" applyNumberFormat="1" applyFont="1" applyBorder="1" applyAlignment="1">
      <alignment horizontal="center" vertical="center"/>
    </xf>
    <xf numFmtId="0" fontId="8" fillId="2" borderId="25"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61"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59"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60"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4" xfId="0" applyFont="1" applyBorder="1" applyAlignment="1">
      <alignment horizontal="center" vertical="center"/>
    </xf>
    <xf numFmtId="0" fontId="3" fillId="0" borderId="20" xfId="0" applyFont="1" applyBorder="1" applyAlignment="1">
      <alignment horizontal="center" vertical="center"/>
    </xf>
    <xf numFmtId="0" fontId="13" fillId="0" borderId="34" xfId="0" applyFont="1" applyBorder="1" applyAlignment="1">
      <alignment horizontal="center" vertical="center" wrapText="1"/>
    </xf>
    <xf numFmtId="0" fontId="13" fillId="0" borderId="34" xfId="0" applyFont="1" applyBorder="1" applyAlignment="1">
      <alignment horizontal="center" vertical="center"/>
    </xf>
    <xf numFmtId="0" fontId="13" fillId="0" borderId="20" xfId="0" applyFont="1" applyBorder="1" applyAlignment="1">
      <alignment horizontal="center" vertical="center"/>
    </xf>
    <xf numFmtId="0" fontId="3" fillId="2" borderId="65" xfId="0" applyFont="1" applyFill="1" applyBorder="1" applyAlignment="1">
      <alignment horizontal="center" vertical="center"/>
    </xf>
    <xf numFmtId="0" fontId="3" fillId="2" borderId="38" xfId="0" applyFont="1" applyFill="1" applyBorder="1" applyAlignment="1">
      <alignment horizontal="center" vertical="center"/>
    </xf>
    <xf numFmtId="0" fontId="3" fillId="0" borderId="65" xfId="0" applyFont="1" applyBorder="1" applyAlignment="1">
      <alignment horizontal="center" vertical="center" wrapText="1"/>
    </xf>
    <xf numFmtId="0" fontId="3" fillId="0" borderId="59" xfId="0" applyFont="1" applyBorder="1" applyAlignment="1">
      <alignment horizontal="center" vertical="center"/>
    </xf>
    <xf numFmtId="0" fontId="3" fillId="0" borderId="38" xfId="0" applyFont="1" applyBorder="1" applyAlignment="1">
      <alignment horizontal="center" vertical="center"/>
    </xf>
    <xf numFmtId="0" fontId="3" fillId="0" borderId="60" xfId="0" applyFont="1" applyBorder="1" applyAlignment="1">
      <alignment horizontal="center" vertical="center"/>
    </xf>
    <xf numFmtId="0" fontId="3" fillId="0" borderId="36" xfId="0" applyFont="1" applyBorder="1" applyAlignment="1">
      <alignment horizontal="center" vertical="center"/>
    </xf>
    <xf numFmtId="0" fontId="3" fillId="0" borderId="22" xfId="0" applyFont="1" applyBorder="1" applyAlignment="1">
      <alignment horizontal="center" vertical="center"/>
    </xf>
    <xf numFmtId="0" fontId="8" fillId="3" borderId="47" xfId="0" applyFont="1" applyFill="1" applyBorder="1" applyAlignment="1" applyProtection="1">
      <alignment horizontal="center" vertical="center" shrinkToFit="1"/>
      <protection locked="0"/>
    </xf>
    <xf numFmtId="178" fontId="3" fillId="0" borderId="39" xfId="0" applyNumberFormat="1" applyFont="1" applyBorder="1" applyAlignment="1">
      <alignment horizontal="center" vertical="center"/>
    </xf>
    <xf numFmtId="178" fontId="3" fillId="0" borderId="33" xfId="0" applyNumberFormat="1" applyFont="1" applyBorder="1" applyAlignment="1">
      <alignment horizontal="center" vertical="center"/>
    </xf>
    <xf numFmtId="0" fontId="8" fillId="3" borderId="49" xfId="0" applyFont="1" applyFill="1" applyBorder="1" applyAlignment="1" applyProtection="1">
      <alignment horizontal="center" vertical="center" shrinkToFit="1"/>
      <protection locked="0"/>
    </xf>
    <xf numFmtId="0" fontId="8" fillId="3" borderId="50" xfId="0" applyFont="1" applyFill="1" applyBorder="1" applyAlignment="1" applyProtection="1">
      <alignment horizontal="center" vertical="center" shrinkToFit="1"/>
      <protection locked="0"/>
    </xf>
    <xf numFmtId="178" fontId="3" fillId="0" borderId="32" xfId="0" applyNumberFormat="1" applyFont="1" applyBorder="1" applyAlignment="1">
      <alignment horizontal="center" vertical="center"/>
    </xf>
    <xf numFmtId="178" fontId="3" fillId="0" borderId="70" xfId="0" applyNumberFormat="1" applyFont="1" applyBorder="1" applyAlignment="1">
      <alignment horizontal="center" vertical="center"/>
    </xf>
    <xf numFmtId="0" fontId="3" fillId="0" borderId="91" xfId="0" applyFont="1" applyBorder="1" applyAlignment="1">
      <alignment horizontal="center" vertical="center"/>
    </xf>
    <xf numFmtId="0" fontId="3" fillId="0" borderId="93" xfId="0" applyFont="1" applyBorder="1" applyAlignment="1">
      <alignment horizontal="center" vertical="center"/>
    </xf>
    <xf numFmtId="38" fontId="3" fillId="0" borderId="20" xfId="1" applyFont="1" applyBorder="1" applyAlignment="1">
      <alignment horizontal="center" vertical="center"/>
    </xf>
    <xf numFmtId="38" fontId="3" fillId="0" borderId="53" xfId="1" applyFont="1" applyBorder="1" applyAlignment="1">
      <alignment horizontal="center" vertical="center"/>
    </xf>
    <xf numFmtId="0" fontId="3" fillId="0" borderId="79" xfId="0" applyFont="1" applyBorder="1" applyAlignment="1">
      <alignment horizontal="center" vertical="center"/>
    </xf>
    <xf numFmtId="0" fontId="8" fillId="0" borderId="25" xfId="0" applyFont="1" applyBorder="1" applyAlignment="1">
      <alignment horizontal="center" vertical="center"/>
    </xf>
    <xf numFmtId="0" fontId="8" fillId="0" borderId="23" xfId="0" applyFont="1" applyBorder="1" applyAlignment="1">
      <alignment horizontal="center" vertical="center"/>
    </xf>
    <xf numFmtId="178" fontId="3" fillId="0" borderId="24" xfId="0" applyNumberFormat="1" applyFont="1" applyBorder="1" applyAlignment="1">
      <alignment horizontal="center" vertical="center"/>
    </xf>
    <xf numFmtId="0" fontId="18" fillId="0" borderId="48" xfId="0" applyFont="1" applyFill="1" applyBorder="1" applyAlignment="1">
      <alignment horizontal="center" vertical="center"/>
    </xf>
    <xf numFmtId="0" fontId="18" fillId="0" borderId="49" xfId="0" applyFont="1" applyFill="1" applyBorder="1" applyAlignment="1">
      <alignment horizontal="center" vertical="center"/>
    </xf>
    <xf numFmtId="0" fontId="18" fillId="0" borderId="68" xfId="0" applyFont="1" applyFill="1" applyBorder="1" applyAlignment="1">
      <alignment horizontal="center" vertical="center"/>
    </xf>
    <xf numFmtId="0" fontId="18" fillId="0" borderId="114" xfId="0" applyFont="1" applyFill="1" applyBorder="1" applyAlignment="1">
      <alignment horizontal="center" vertical="center"/>
    </xf>
    <xf numFmtId="179" fontId="7" fillId="3" borderId="64" xfId="0" applyNumberFormat="1" applyFont="1" applyFill="1" applyBorder="1" applyAlignment="1" applyProtection="1">
      <alignment horizontal="center" vertical="center" shrinkToFit="1"/>
      <protection locked="0"/>
    </xf>
    <xf numFmtId="178" fontId="3" fillId="0" borderId="109" xfId="0" applyNumberFormat="1" applyFont="1" applyBorder="1" applyAlignment="1">
      <alignment horizontal="center" vertical="center"/>
    </xf>
    <xf numFmtId="0" fontId="18" fillId="0" borderId="29" xfId="0" applyFont="1" applyFill="1" applyBorder="1" applyAlignment="1">
      <alignment horizontal="center" vertical="center"/>
    </xf>
    <xf numFmtId="0" fontId="18" fillId="0" borderId="67" xfId="0" applyFont="1" applyFill="1" applyBorder="1" applyAlignment="1">
      <alignment horizontal="center" vertical="center"/>
    </xf>
    <xf numFmtId="0" fontId="18" fillId="0" borderId="66" xfId="0" applyFont="1" applyFill="1" applyBorder="1" applyAlignment="1">
      <alignment horizontal="center" vertical="center"/>
    </xf>
    <xf numFmtId="0" fontId="18" fillId="0" borderId="0" xfId="0" applyFont="1" applyFill="1" applyBorder="1" applyAlignment="1">
      <alignment horizontal="center" vertical="center"/>
    </xf>
    <xf numFmtId="0" fontId="7" fillId="3" borderId="115" xfId="0" applyFont="1" applyFill="1" applyBorder="1" applyAlignment="1" applyProtection="1">
      <alignment horizontal="center" vertical="center" shrinkToFit="1"/>
      <protection locked="0"/>
    </xf>
    <xf numFmtId="0" fontId="7" fillId="3" borderId="116" xfId="0" applyFont="1" applyFill="1" applyBorder="1" applyAlignment="1" applyProtection="1">
      <alignment horizontal="center" vertical="center" shrinkToFit="1"/>
      <protection locked="0"/>
    </xf>
    <xf numFmtId="179" fontId="7" fillId="3" borderId="33" xfId="0" applyNumberFormat="1" applyFont="1" applyFill="1" applyBorder="1" applyAlignment="1" applyProtection="1">
      <alignment horizontal="center" vertical="center" shrinkToFit="1"/>
      <protection locked="0"/>
    </xf>
    <xf numFmtId="179" fontId="7" fillId="3" borderId="45" xfId="0" applyNumberFormat="1" applyFont="1" applyFill="1" applyBorder="1" applyAlignment="1" applyProtection="1">
      <alignment horizontal="center" vertical="center" shrinkToFit="1"/>
      <protection locked="0"/>
    </xf>
    <xf numFmtId="178" fontId="3" fillId="0" borderId="102" xfId="0" applyNumberFormat="1" applyFont="1" applyBorder="1" applyAlignment="1">
      <alignment horizontal="center" vertical="center"/>
    </xf>
    <xf numFmtId="178" fontId="3" fillId="0" borderId="112" xfId="0" applyNumberFormat="1" applyFont="1" applyBorder="1" applyAlignment="1">
      <alignment horizontal="center" vertical="center"/>
    </xf>
    <xf numFmtId="0" fontId="18" fillId="0" borderId="113" xfId="0" applyFont="1" applyFill="1" applyBorder="1" applyAlignment="1">
      <alignment horizontal="center" vertical="center"/>
    </xf>
    <xf numFmtId="0" fontId="18" fillId="0" borderId="82" xfId="0" applyFont="1" applyFill="1" applyBorder="1" applyAlignment="1">
      <alignment horizontal="center" vertical="center"/>
    </xf>
    <xf numFmtId="0" fontId="18" fillId="0" borderId="51" xfId="0" applyFont="1" applyFill="1" applyBorder="1" applyAlignment="1">
      <alignment horizontal="center" vertical="center"/>
    </xf>
    <xf numFmtId="0" fontId="18" fillId="0" borderId="59" xfId="0" applyFont="1" applyFill="1" applyBorder="1" applyAlignment="1">
      <alignment horizontal="center" vertical="center"/>
    </xf>
    <xf numFmtId="0" fontId="18" fillId="0" borderId="65" xfId="0" applyFont="1" applyFill="1" applyBorder="1" applyAlignment="1">
      <alignment horizontal="center" vertical="center"/>
    </xf>
    <xf numFmtId="0" fontId="18" fillId="0" borderId="6" xfId="0" applyFont="1" applyFill="1" applyBorder="1" applyAlignment="1">
      <alignment horizontal="center" vertical="center"/>
    </xf>
    <xf numFmtId="0" fontId="7" fillId="3" borderId="110" xfId="0" applyFont="1" applyFill="1" applyBorder="1" applyAlignment="1" applyProtection="1">
      <alignment horizontal="center" vertical="center" shrinkToFit="1"/>
      <protection locked="0"/>
    </xf>
    <xf numFmtId="0" fontId="7" fillId="3" borderId="111" xfId="0" applyFont="1" applyFill="1" applyBorder="1" applyAlignment="1" applyProtection="1">
      <alignment horizontal="center" vertical="center" shrinkToFit="1"/>
      <protection locked="0"/>
    </xf>
    <xf numFmtId="179" fontId="7" fillId="3" borderId="16" xfId="0" applyNumberFormat="1" applyFont="1" applyFill="1" applyBorder="1" applyAlignment="1" applyProtection="1">
      <alignment horizontal="center" vertical="center" shrinkToFit="1"/>
      <protection locked="0"/>
    </xf>
    <xf numFmtId="178" fontId="3" fillId="0" borderId="17" xfId="0" applyNumberFormat="1" applyFont="1" applyBorder="1" applyAlignment="1">
      <alignment horizontal="center" vertical="center"/>
    </xf>
    <xf numFmtId="0" fontId="3" fillId="0" borderId="34" xfId="0" applyFont="1" applyBorder="1" applyAlignment="1">
      <alignment horizontal="center" wrapText="1"/>
    </xf>
    <xf numFmtId="0" fontId="3" fillId="0" borderId="34" xfId="0" applyFont="1" applyBorder="1" applyAlignment="1">
      <alignment horizontal="center"/>
    </xf>
    <xf numFmtId="0" fontId="3" fillId="0" borderId="20" xfId="0" applyFont="1" applyBorder="1" applyAlignment="1">
      <alignment horizontal="center"/>
    </xf>
    <xf numFmtId="0" fontId="3" fillId="0" borderId="53" xfId="0" applyFont="1" applyBorder="1" applyAlignment="1">
      <alignment horizontal="center" vertical="center"/>
    </xf>
    <xf numFmtId="0" fontId="18" fillId="0" borderId="48" xfId="0" applyFont="1" applyFill="1" applyBorder="1" applyAlignment="1" applyProtection="1">
      <alignment horizontal="center" vertical="center"/>
    </xf>
    <xf numFmtId="0" fontId="19" fillId="0" borderId="49" xfId="0" applyFont="1" applyFill="1" applyBorder="1" applyAlignment="1" applyProtection="1">
      <alignment horizontal="center" vertical="center"/>
    </xf>
    <xf numFmtId="0" fontId="18" fillId="0" borderId="64" xfId="0" applyFont="1" applyFill="1" applyBorder="1" applyAlignment="1" applyProtection="1">
      <alignment horizontal="center" vertical="center"/>
    </xf>
    <xf numFmtId="0" fontId="3" fillId="0" borderId="33" xfId="0" applyFont="1" applyFill="1" applyBorder="1" applyAlignment="1">
      <alignment horizontal="center" vertical="center"/>
    </xf>
    <xf numFmtId="0" fontId="3" fillId="0" borderId="64" xfId="0" applyFont="1" applyFill="1" applyBorder="1" applyAlignment="1">
      <alignment horizontal="center" vertical="center"/>
    </xf>
    <xf numFmtId="0" fontId="18" fillId="0" borderId="44" xfId="0" applyFont="1" applyFill="1" applyBorder="1" applyAlignment="1" applyProtection="1">
      <alignment horizontal="center" vertical="center"/>
    </xf>
    <xf numFmtId="0" fontId="19" fillId="0" borderId="47" xfId="0" applyFont="1" applyFill="1" applyBorder="1" applyAlignment="1" applyProtection="1">
      <alignment horizontal="center" vertical="center"/>
    </xf>
    <xf numFmtId="0" fontId="18" fillId="0" borderId="33" xfId="0" applyFont="1" applyFill="1" applyBorder="1" applyAlignment="1" applyProtection="1">
      <alignment horizontal="center" vertical="center"/>
    </xf>
    <xf numFmtId="178" fontId="3" fillId="0" borderId="46" xfId="0" applyNumberFormat="1" applyFont="1" applyBorder="1" applyAlignment="1">
      <alignment horizontal="center" vertical="center"/>
    </xf>
    <xf numFmtId="0" fontId="3" fillId="0" borderId="20" xfId="0" applyFont="1" applyBorder="1" applyAlignment="1">
      <alignment horizontal="center" wrapText="1"/>
    </xf>
    <xf numFmtId="0" fontId="3" fillId="0" borderId="0" xfId="0" applyFont="1" applyAlignment="1">
      <alignment horizontal="center"/>
    </xf>
    <xf numFmtId="0" fontId="18" fillId="0" borderId="41" xfId="0" applyFont="1" applyFill="1" applyBorder="1" applyAlignment="1" applyProtection="1">
      <alignment horizontal="center" vertical="center"/>
    </xf>
    <xf numFmtId="0" fontId="19" fillId="0" borderId="50" xfId="0" applyFont="1" applyFill="1" applyBorder="1" applyAlignment="1" applyProtection="1">
      <alignment horizontal="center" vertical="center"/>
    </xf>
    <xf numFmtId="0" fontId="18" fillId="0" borderId="32" xfId="0" applyFont="1" applyFill="1" applyBorder="1" applyAlignment="1" applyProtection="1">
      <alignment horizontal="center" vertical="center"/>
    </xf>
    <xf numFmtId="0" fontId="3" fillId="0" borderId="32" xfId="0" applyFont="1" applyFill="1" applyBorder="1" applyAlignment="1">
      <alignment horizontal="center" vertical="center"/>
    </xf>
    <xf numFmtId="178" fontId="3" fillId="0" borderId="43" xfId="0" applyNumberFormat="1" applyFont="1" applyBorder="1" applyAlignment="1">
      <alignment horizontal="center" vertical="center"/>
    </xf>
    <xf numFmtId="0" fontId="8" fillId="0" borderId="108" xfId="0" applyFont="1" applyBorder="1" applyAlignment="1">
      <alignment horizontal="center" vertical="center"/>
    </xf>
    <xf numFmtId="0" fontId="8" fillId="0" borderId="71" xfId="0" applyFont="1" applyBorder="1" applyAlignment="1">
      <alignment horizontal="center" vertical="center"/>
    </xf>
    <xf numFmtId="0" fontId="7" fillId="3" borderId="107" xfId="0" applyFont="1" applyFill="1" applyBorder="1" applyAlignment="1" applyProtection="1">
      <alignment horizontal="center" vertical="center" shrinkToFit="1"/>
      <protection locked="0"/>
    </xf>
    <xf numFmtId="0" fontId="7" fillId="3" borderId="18" xfId="0" applyFont="1" applyFill="1" applyBorder="1" applyAlignment="1" applyProtection="1">
      <alignment horizontal="center" vertical="center" shrinkToFit="1"/>
      <protection locked="0"/>
    </xf>
    <xf numFmtId="0" fontId="7" fillId="3" borderId="21" xfId="0" applyFont="1" applyFill="1" applyBorder="1" applyAlignment="1" applyProtection="1">
      <alignment horizontal="center" vertical="center" shrinkToFit="1"/>
      <protection locked="0"/>
    </xf>
    <xf numFmtId="0" fontId="7" fillId="3" borderId="26" xfId="0" applyFont="1" applyFill="1" applyBorder="1" applyAlignment="1" applyProtection="1">
      <alignment horizontal="center" vertical="center" shrinkToFit="1"/>
      <protection locked="0"/>
    </xf>
    <xf numFmtId="0" fontId="7" fillId="3" borderId="93" xfId="0" applyFont="1" applyFill="1" applyBorder="1" applyAlignment="1" applyProtection="1">
      <alignment horizontal="center" vertical="center" shrinkToFit="1"/>
      <protection locked="0"/>
    </xf>
    <xf numFmtId="0" fontId="7" fillId="3" borderId="20" xfId="0" applyFont="1" applyFill="1" applyBorder="1" applyAlignment="1" applyProtection="1">
      <alignment horizontal="center" vertical="center" shrinkToFit="1"/>
      <protection locked="0"/>
    </xf>
    <xf numFmtId="0" fontId="7" fillId="3" borderId="22" xfId="0" applyFont="1" applyFill="1" applyBorder="1" applyAlignment="1" applyProtection="1">
      <alignment horizontal="center" vertical="center" shrinkToFit="1"/>
      <protection locked="0"/>
    </xf>
    <xf numFmtId="0" fontId="3" fillId="2" borderId="17" xfId="0" applyFont="1" applyFill="1" applyBorder="1" applyAlignment="1">
      <alignment horizontal="center" vertical="center"/>
    </xf>
    <xf numFmtId="0" fontId="3" fillId="2" borderId="30" xfId="0" applyFont="1" applyFill="1" applyBorder="1" applyAlignment="1">
      <alignment horizontal="center" vertical="center"/>
    </xf>
    <xf numFmtId="0" fontId="7" fillId="3" borderId="91" xfId="0" applyFont="1" applyFill="1" applyBorder="1" applyAlignment="1" applyProtection="1">
      <alignment horizontal="center" vertical="center" shrinkToFit="1"/>
      <protection locked="0"/>
    </xf>
    <xf numFmtId="0" fontId="7" fillId="3" borderId="34" xfId="0" applyFont="1" applyFill="1" applyBorder="1" applyAlignment="1" applyProtection="1">
      <alignment horizontal="center" vertical="center" shrinkToFit="1"/>
      <protection locked="0"/>
    </xf>
    <xf numFmtId="0" fontId="7" fillId="3" borderId="36" xfId="0" applyFont="1" applyFill="1" applyBorder="1" applyAlignment="1" applyProtection="1">
      <alignment horizontal="center" vertical="center" shrinkToFit="1"/>
      <protection locked="0"/>
    </xf>
    <xf numFmtId="0" fontId="0" fillId="0" borderId="119" xfId="0" applyBorder="1" applyAlignment="1">
      <alignment horizontal="center" vertical="center"/>
    </xf>
    <xf numFmtId="0" fontId="0" fillId="0" borderId="39" xfId="0" applyBorder="1" applyAlignment="1">
      <alignment horizontal="center" vertical="center"/>
    </xf>
    <xf numFmtId="0" fontId="0" fillId="0" borderId="21" xfId="0" applyBorder="1" applyAlignment="1">
      <alignment horizontal="center" vertical="center"/>
    </xf>
    <xf numFmtId="0" fontId="0" fillId="0" borderId="119" xfId="0" applyBorder="1" applyAlignment="1">
      <alignment horizontal="center" vertical="center" wrapText="1"/>
    </xf>
    <xf numFmtId="0" fontId="0" fillId="0" borderId="39" xfId="0" applyBorder="1" applyAlignment="1">
      <alignment horizontal="center" vertical="center" wrapText="1"/>
    </xf>
    <xf numFmtId="0" fontId="38" fillId="0" borderId="52" xfId="0" applyFont="1" applyBorder="1" applyAlignment="1">
      <alignment horizontal="center" vertical="center"/>
    </xf>
    <xf numFmtId="0" fontId="38" fillId="0" borderId="4" xfId="0" applyFont="1" applyBorder="1" applyAlignment="1">
      <alignment horizontal="center" vertical="center"/>
    </xf>
    <xf numFmtId="0" fontId="38" fillId="0" borderId="31" xfId="0" applyFont="1" applyBorder="1" applyAlignment="1">
      <alignment horizontal="center" vertical="center"/>
    </xf>
    <xf numFmtId="0" fontId="38" fillId="0" borderId="18" xfId="0" applyFont="1" applyBorder="1" applyAlignment="1">
      <alignment horizontal="left" wrapText="1"/>
    </xf>
    <xf numFmtId="0" fontId="38" fillId="0" borderId="119" xfId="0" applyFont="1" applyBorder="1" applyAlignment="1">
      <alignment horizontal="left" vertical="center" wrapText="1"/>
    </xf>
    <xf numFmtId="0" fontId="38" fillId="0" borderId="21" xfId="0" applyFont="1" applyBorder="1" applyAlignment="1">
      <alignment horizontal="left" vertical="center" wrapText="1"/>
    </xf>
    <xf numFmtId="0" fontId="38" fillId="0" borderId="119" xfId="0" applyFont="1" applyBorder="1" applyAlignment="1">
      <alignment horizontal="left" vertical="center"/>
    </xf>
    <xf numFmtId="0" fontId="38" fillId="0" borderId="39" xfId="0" applyFont="1" applyBorder="1" applyAlignment="1">
      <alignment horizontal="left" vertical="center"/>
    </xf>
    <xf numFmtId="0" fontId="38" fillId="0" borderId="21" xfId="0" applyFont="1" applyBorder="1" applyAlignment="1">
      <alignment horizontal="left" vertical="center"/>
    </xf>
    <xf numFmtId="0" fontId="38" fillId="0" borderId="18" xfId="0" applyFont="1" applyBorder="1" applyAlignment="1">
      <alignment horizontal="center" vertical="center" textRotation="255"/>
    </xf>
    <xf numFmtId="0" fontId="38" fillId="0" borderId="119"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119" xfId="0" applyFont="1" applyBorder="1" applyAlignment="1">
      <alignment horizontal="center" vertical="top" textRotation="255"/>
    </xf>
    <xf numFmtId="0" fontId="38" fillId="0" borderId="39" xfId="0" applyFont="1" applyBorder="1" applyAlignment="1">
      <alignment horizontal="center" vertical="top" textRotation="255"/>
    </xf>
    <xf numFmtId="0" fontId="38" fillId="0" borderId="21" xfId="0" applyFont="1" applyBorder="1" applyAlignment="1">
      <alignment horizontal="center" vertical="top" textRotation="255"/>
    </xf>
    <xf numFmtId="0" fontId="38" fillId="0" borderId="94" xfId="0" applyFont="1" applyBorder="1" applyAlignment="1">
      <alignment horizontal="left" vertical="center"/>
    </xf>
    <xf numFmtId="0" fontId="38" fillId="0" borderId="97" xfId="0" applyFont="1" applyBorder="1" applyAlignment="1">
      <alignment horizontal="left" vertical="center"/>
    </xf>
    <xf numFmtId="0" fontId="38" fillId="0" borderId="98" xfId="0" applyFont="1" applyBorder="1" applyAlignment="1">
      <alignment horizontal="left" vertical="center"/>
    </xf>
    <xf numFmtId="0" fontId="38" fillId="0" borderId="129" xfId="0" applyFont="1" applyBorder="1" applyAlignment="1">
      <alignment horizontal="left" vertical="center"/>
    </xf>
    <xf numFmtId="0" fontId="38" fillId="0" borderId="40" xfId="0" applyFont="1" applyBorder="1" applyAlignment="1">
      <alignment horizontal="left" vertical="center"/>
    </xf>
    <xf numFmtId="0" fontId="38" fillId="0" borderId="118" xfId="0" applyFont="1" applyBorder="1" applyAlignment="1">
      <alignment horizontal="left" vertical="center"/>
    </xf>
    <xf numFmtId="2" fontId="38" fillId="0" borderId="119" xfId="0" applyNumberFormat="1" applyFont="1" applyBorder="1" applyAlignment="1">
      <alignment horizontal="center" vertical="center"/>
    </xf>
    <xf numFmtId="2" fontId="38" fillId="0" borderId="21" xfId="0" applyNumberFormat="1" applyFont="1" applyBorder="1" applyAlignment="1">
      <alignment horizontal="center" vertical="center"/>
    </xf>
  </cellXfs>
  <cellStyles count="3">
    <cellStyle name="桁区切り" xfId="1" builtinId="6"/>
    <cellStyle name="標準" xfId="0" builtinId="0"/>
    <cellStyle name="標準 2" xfId="2"/>
  </cellStyles>
  <dxfs count="25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FFFF99"/>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AF$17" lockText="1" noThreeD="1"/>
</file>

<file path=xl/ctrlProps/ctrlProp10.xml><?xml version="1.0" encoding="utf-8"?>
<formControlPr xmlns="http://schemas.microsoft.com/office/spreadsheetml/2009/9/main" objectType="CheckBox" fmlaLink="$AG$19" lockText="1" noThreeD="1"/>
</file>

<file path=xl/ctrlProps/ctrlProp100.xml><?xml version="1.0" encoding="utf-8"?>
<formControlPr xmlns="http://schemas.microsoft.com/office/spreadsheetml/2009/9/main" objectType="CheckBox" checked="Checked" fmlaLink="$AD$35" lockText="1" noThreeD="1"/>
</file>

<file path=xl/ctrlProps/ctrlProp101.xml><?xml version="1.0" encoding="utf-8"?>
<formControlPr xmlns="http://schemas.microsoft.com/office/spreadsheetml/2009/9/main" objectType="CheckBox" fmlaLink="$AG$8" lockText="1" noThreeD="1"/>
</file>

<file path=xl/ctrlProps/ctrlProp102.xml><?xml version="1.0" encoding="utf-8"?>
<formControlPr xmlns="http://schemas.microsoft.com/office/spreadsheetml/2009/9/main" objectType="CheckBox" fmlaLink="$AG$9" lockText="1" noThreeD="1"/>
</file>

<file path=xl/ctrlProps/ctrlProp103.xml><?xml version="1.0" encoding="utf-8"?>
<formControlPr xmlns="http://schemas.microsoft.com/office/spreadsheetml/2009/9/main" objectType="CheckBox" fmlaLink="$AG$15" lockText="1" noThreeD="1"/>
</file>

<file path=xl/ctrlProps/ctrlProp104.xml><?xml version="1.0" encoding="utf-8"?>
<formControlPr xmlns="http://schemas.microsoft.com/office/spreadsheetml/2009/9/main" objectType="CheckBox" fmlaLink="$AG$16" lockText="1" noThreeD="1"/>
</file>

<file path=xl/ctrlProps/ctrlProp105.xml><?xml version="1.0" encoding="utf-8"?>
<formControlPr xmlns="http://schemas.microsoft.com/office/spreadsheetml/2009/9/main" objectType="CheckBox" fmlaLink="$AG$17" lockText="1" noThreeD="1"/>
</file>

<file path=xl/ctrlProps/ctrlProp106.xml><?xml version="1.0" encoding="utf-8"?>
<formControlPr xmlns="http://schemas.microsoft.com/office/spreadsheetml/2009/9/main" objectType="CheckBox" fmlaLink="$AG$18" lockText="1" noThreeD="1"/>
</file>

<file path=xl/ctrlProps/ctrlProp107.xml><?xml version="1.0" encoding="utf-8"?>
<formControlPr xmlns="http://schemas.microsoft.com/office/spreadsheetml/2009/9/main" objectType="CheckBox" fmlaLink="$AG$19" lockText="1" noThreeD="1"/>
</file>

<file path=xl/ctrlProps/ctrlProp108.xml><?xml version="1.0" encoding="utf-8"?>
<formControlPr xmlns="http://schemas.microsoft.com/office/spreadsheetml/2009/9/main" objectType="CheckBox" fmlaLink="$AG$10" lockText="1" noThreeD="1"/>
</file>

<file path=xl/ctrlProps/ctrlProp109.xml><?xml version="1.0" encoding="utf-8"?>
<formControlPr xmlns="http://schemas.microsoft.com/office/spreadsheetml/2009/9/main" objectType="CheckBox" fmlaLink="$AG$11" lockText="1" noThreeD="1"/>
</file>

<file path=xl/ctrlProps/ctrlProp11.xml><?xml version="1.0" encoding="utf-8"?>
<formControlPr xmlns="http://schemas.microsoft.com/office/spreadsheetml/2009/9/main" objectType="CheckBox" checked="Checked" fmlaLink="$AG$10" lockText="1" noThreeD="1"/>
</file>

<file path=xl/ctrlProps/ctrlProp110.xml><?xml version="1.0" encoding="utf-8"?>
<formControlPr xmlns="http://schemas.microsoft.com/office/spreadsheetml/2009/9/main" objectType="CheckBox" fmlaLink="$AG$14" lockText="1" noThreeD="1"/>
</file>

<file path=xl/ctrlProps/ctrlProp111.xml><?xml version="1.0" encoding="utf-8"?>
<formControlPr xmlns="http://schemas.microsoft.com/office/spreadsheetml/2009/9/main" objectType="CheckBox" fmlaLink="$AD$33" lockText="1" noThreeD="1"/>
</file>

<file path=xl/ctrlProps/ctrlProp112.xml><?xml version="1.0" encoding="utf-8"?>
<formControlPr xmlns="http://schemas.microsoft.com/office/spreadsheetml/2009/9/main" objectType="CheckBox" fmlaLink="$AD$36" lockText="1" noThreeD="1"/>
</file>

<file path=xl/ctrlProps/ctrlProp113.xml><?xml version="1.0" encoding="utf-8"?>
<formControlPr xmlns="http://schemas.microsoft.com/office/spreadsheetml/2009/9/main" objectType="CheckBox" checked="Checked" fmlaLink="$AD$37" lockText="1" noThreeD="1"/>
</file>

<file path=xl/ctrlProps/ctrlProp114.xml><?xml version="1.0" encoding="utf-8"?>
<formControlPr xmlns="http://schemas.microsoft.com/office/spreadsheetml/2009/9/main" objectType="CheckBox" fmlaLink="$AG$12" lockText="1" noThreeD="1"/>
</file>

<file path=xl/ctrlProps/ctrlProp115.xml><?xml version="1.0" encoding="utf-8"?>
<formControlPr xmlns="http://schemas.microsoft.com/office/spreadsheetml/2009/9/main" objectType="CheckBox" fmlaLink="$AG$13" lockText="1" noThreeD="1"/>
</file>

<file path=xl/ctrlProps/ctrlProp116.xml><?xml version="1.0" encoding="utf-8"?>
<formControlPr xmlns="http://schemas.microsoft.com/office/spreadsheetml/2009/9/main" objectType="CheckBox" fmlaLink="$AD$34" lockText="1" noThreeD="1"/>
</file>

<file path=xl/ctrlProps/ctrlProp117.xml><?xml version="1.0" encoding="utf-8"?>
<formControlPr xmlns="http://schemas.microsoft.com/office/spreadsheetml/2009/9/main" objectType="CheckBox" checked="Checked" fmlaLink="$AD$35" lockText="1" noThreeD="1"/>
</file>

<file path=xl/ctrlProps/ctrlProp118.xml><?xml version="1.0" encoding="utf-8"?>
<formControlPr xmlns="http://schemas.microsoft.com/office/spreadsheetml/2009/9/main" objectType="CheckBox" fmlaLink="$AG$8" lockText="1" noThreeD="1"/>
</file>

<file path=xl/ctrlProps/ctrlProp119.xml><?xml version="1.0" encoding="utf-8"?>
<formControlPr xmlns="http://schemas.microsoft.com/office/spreadsheetml/2009/9/main" objectType="CheckBox" fmlaLink="$AG$9" lockText="1" noThreeD="1"/>
</file>

<file path=xl/ctrlProps/ctrlProp12.xml><?xml version="1.0" encoding="utf-8"?>
<formControlPr xmlns="http://schemas.microsoft.com/office/spreadsheetml/2009/9/main" objectType="CheckBox" fmlaLink="$AG$11" lockText="1" noThreeD="1"/>
</file>

<file path=xl/ctrlProps/ctrlProp120.xml><?xml version="1.0" encoding="utf-8"?>
<formControlPr xmlns="http://schemas.microsoft.com/office/spreadsheetml/2009/9/main" objectType="CheckBox" fmlaLink="$AG$15" lockText="1" noThreeD="1"/>
</file>

<file path=xl/ctrlProps/ctrlProp121.xml><?xml version="1.0" encoding="utf-8"?>
<formControlPr xmlns="http://schemas.microsoft.com/office/spreadsheetml/2009/9/main" objectType="CheckBox" fmlaLink="$AG$16" lockText="1" noThreeD="1"/>
</file>

<file path=xl/ctrlProps/ctrlProp122.xml><?xml version="1.0" encoding="utf-8"?>
<formControlPr xmlns="http://schemas.microsoft.com/office/spreadsheetml/2009/9/main" objectType="CheckBox" fmlaLink="$AG$17" lockText="1" noThreeD="1"/>
</file>

<file path=xl/ctrlProps/ctrlProp123.xml><?xml version="1.0" encoding="utf-8"?>
<formControlPr xmlns="http://schemas.microsoft.com/office/spreadsheetml/2009/9/main" objectType="CheckBox" fmlaLink="$AG$18" lockText="1" noThreeD="1"/>
</file>

<file path=xl/ctrlProps/ctrlProp124.xml><?xml version="1.0" encoding="utf-8"?>
<formControlPr xmlns="http://schemas.microsoft.com/office/spreadsheetml/2009/9/main" objectType="CheckBox" fmlaLink="$AG$19" lockText="1" noThreeD="1"/>
</file>

<file path=xl/ctrlProps/ctrlProp125.xml><?xml version="1.0" encoding="utf-8"?>
<formControlPr xmlns="http://schemas.microsoft.com/office/spreadsheetml/2009/9/main" objectType="CheckBox" fmlaLink="$AG$10" lockText="1" noThreeD="1"/>
</file>

<file path=xl/ctrlProps/ctrlProp126.xml><?xml version="1.0" encoding="utf-8"?>
<formControlPr xmlns="http://schemas.microsoft.com/office/spreadsheetml/2009/9/main" objectType="CheckBox" fmlaLink="$AG$11" lockText="1" noThreeD="1"/>
</file>

<file path=xl/ctrlProps/ctrlProp127.xml><?xml version="1.0" encoding="utf-8"?>
<formControlPr xmlns="http://schemas.microsoft.com/office/spreadsheetml/2009/9/main" objectType="CheckBox" fmlaLink="$AG$14" lockText="1" noThreeD="1"/>
</file>

<file path=xl/ctrlProps/ctrlProp128.xml><?xml version="1.0" encoding="utf-8"?>
<formControlPr xmlns="http://schemas.microsoft.com/office/spreadsheetml/2009/9/main" objectType="CheckBox" fmlaLink="$AD$33" lockText="1" noThreeD="1"/>
</file>

<file path=xl/ctrlProps/ctrlProp129.xml><?xml version="1.0" encoding="utf-8"?>
<formControlPr xmlns="http://schemas.microsoft.com/office/spreadsheetml/2009/9/main" objectType="CheckBox" fmlaLink="$AD$36" lockText="1" noThreeD="1"/>
</file>

<file path=xl/ctrlProps/ctrlProp13.xml><?xml version="1.0" encoding="utf-8"?>
<formControlPr xmlns="http://schemas.microsoft.com/office/spreadsheetml/2009/9/main" objectType="CheckBox" fmlaLink="$AG$14" lockText="1" noThreeD="1"/>
</file>

<file path=xl/ctrlProps/ctrlProp130.xml><?xml version="1.0" encoding="utf-8"?>
<formControlPr xmlns="http://schemas.microsoft.com/office/spreadsheetml/2009/9/main" objectType="CheckBox" checked="Checked" fmlaLink="$AD$37" lockText="1" noThreeD="1"/>
</file>

<file path=xl/ctrlProps/ctrlProp131.xml><?xml version="1.0" encoding="utf-8"?>
<formControlPr xmlns="http://schemas.microsoft.com/office/spreadsheetml/2009/9/main" objectType="CheckBox" fmlaLink="$AG$12" lockText="1" noThreeD="1"/>
</file>

<file path=xl/ctrlProps/ctrlProp132.xml><?xml version="1.0" encoding="utf-8"?>
<formControlPr xmlns="http://schemas.microsoft.com/office/spreadsheetml/2009/9/main" objectType="CheckBox" fmlaLink="$AG$13" lockText="1" noThreeD="1"/>
</file>

<file path=xl/ctrlProps/ctrlProp133.xml><?xml version="1.0" encoding="utf-8"?>
<formControlPr xmlns="http://schemas.microsoft.com/office/spreadsheetml/2009/9/main" objectType="CheckBox" fmlaLink="$AD$34" lockText="1" noThreeD="1"/>
</file>

<file path=xl/ctrlProps/ctrlProp134.xml><?xml version="1.0" encoding="utf-8"?>
<formControlPr xmlns="http://schemas.microsoft.com/office/spreadsheetml/2009/9/main" objectType="CheckBox" checked="Checked" fmlaLink="$AD$35" lockText="1" noThreeD="1"/>
</file>

<file path=xl/ctrlProps/ctrlProp135.xml><?xml version="1.0" encoding="utf-8"?>
<formControlPr xmlns="http://schemas.microsoft.com/office/spreadsheetml/2009/9/main" objectType="CheckBox" fmlaLink="$AG$8" lockText="1" noThreeD="1"/>
</file>

<file path=xl/ctrlProps/ctrlProp136.xml><?xml version="1.0" encoding="utf-8"?>
<formControlPr xmlns="http://schemas.microsoft.com/office/spreadsheetml/2009/9/main" objectType="CheckBox" fmlaLink="$AG$9" lockText="1" noThreeD="1"/>
</file>

<file path=xl/ctrlProps/ctrlProp137.xml><?xml version="1.0" encoding="utf-8"?>
<formControlPr xmlns="http://schemas.microsoft.com/office/spreadsheetml/2009/9/main" objectType="CheckBox" fmlaLink="$AG$15" lockText="1" noThreeD="1"/>
</file>

<file path=xl/ctrlProps/ctrlProp138.xml><?xml version="1.0" encoding="utf-8"?>
<formControlPr xmlns="http://schemas.microsoft.com/office/spreadsheetml/2009/9/main" objectType="CheckBox" fmlaLink="$AG$16" lockText="1" noThreeD="1"/>
</file>

<file path=xl/ctrlProps/ctrlProp139.xml><?xml version="1.0" encoding="utf-8"?>
<formControlPr xmlns="http://schemas.microsoft.com/office/spreadsheetml/2009/9/main" objectType="CheckBox" fmlaLink="$AG$17" lockText="1" noThreeD="1"/>
</file>

<file path=xl/ctrlProps/ctrlProp14.xml><?xml version="1.0" encoding="utf-8"?>
<formControlPr xmlns="http://schemas.microsoft.com/office/spreadsheetml/2009/9/main" objectType="CheckBox" fmlaLink="$AD$33" lockText="1" noThreeD="1"/>
</file>

<file path=xl/ctrlProps/ctrlProp140.xml><?xml version="1.0" encoding="utf-8"?>
<formControlPr xmlns="http://schemas.microsoft.com/office/spreadsheetml/2009/9/main" objectType="CheckBox" fmlaLink="$AG$18" lockText="1" noThreeD="1"/>
</file>

<file path=xl/ctrlProps/ctrlProp141.xml><?xml version="1.0" encoding="utf-8"?>
<formControlPr xmlns="http://schemas.microsoft.com/office/spreadsheetml/2009/9/main" objectType="CheckBox" fmlaLink="$AG$19" lockText="1" noThreeD="1"/>
</file>

<file path=xl/ctrlProps/ctrlProp142.xml><?xml version="1.0" encoding="utf-8"?>
<formControlPr xmlns="http://schemas.microsoft.com/office/spreadsheetml/2009/9/main" objectType="CheckBox" fmlaLink="$AG$10" lockText="1" noThreeD="1"/>
</file>

<file path=xl/ctrlProps/ctrlProp143.xml><?xml version="1.0" encoding="utf-8"?>
<formControlPr xmlns="http://schemas.microsoft.com/office/spreadsheetml/2009/9/main" objectType="CheckBox" fmlaLink="$AG$11" lockText="1" noThreeD="1"/>
</file>

<file path=xl/ctrlProps/ctrlProp144.xml><?xml version="1.0" encoding="utf-8"?>
<formControlPr xmlns="http://schemas.microsoft.com/office/spreadsheetml/2009/9/main" objectType="CheckBox" fmlaLink="$AG$14" lockText="1" noThreeD="1"/>
</file>

<file path=xl/ctrlProps/ctrlProp145.xml><?xml version="1.0" encoding="utf-8"?>
<formControlPr xmlns="http://schemas.microsoft.com/office/spreadsheetml/2009/9/main" objectType="CheckBox" fmlaLink="$AD$33" lockText="1" noThreeD="1"/>
</file>

<file path=xl/ctrlProps/ctrlProp146.xml><?xml version="1.0" encoding="utf-8"?>
<formControlPr xmlns="http://schemas.microsoft.com/office/spreadsheetml/2009/9/main" objectType="CheckBox" fmlaLink="$AD$36" lockText="1" noThreeD="1"/>
</file>

<file path=xl/ctrlProps/ctrlProp147.xml><?xml version="1.0" encoding="utf-8"?>
<formControlPr xmlns="http://schemas.microsoft.com/office/spreadsheetml/2009/9/main" objectType="CheckBox" checked="Checked" fmlaLink="$AD$37" lockText="1" noThreeD="1"/>
</file>

<file path=xl/ctrlProps/ctrlProp148.xml><?xml version="1.0" encoding="utf-8"?>
<formControlPr xmlns="http://schemas.microsoft.com/office/spreadsheetml/2009/9/main" objectType="CheckBox" fmlaLink="$AG$12" lockText="1" noThreeD="1"/>
</file>

<file path=xl/ctrlProps/ctrlProp149.xml><?xml version="1.0" encoding="utf-8"?>
<formControlPr xmlns="http://schemas.microsoft.com/office/spreadsheetml/2009/9/main" objectType="CheckBox" fmlaLink="$AG$13" lockText="1" noThreeD="1"/>
</file>

<file path=xl/ctrlProps/ctrlProp15.xml><?xml version="1.0" encoding="utf-8"?>
<formControlPr xmlns="http://schemas.microsoft.com/office/spreadsheetml/2009/9/main" objectType="CheckBox" fmlaLink="$AD$36" lockText="1" noThreeD="1"/>
</file>

<file path=xl/ctrlProps/ctrlProp150.xml><?xml version="1.0" encoding="utf-8"?>
<formControlPr xmlns="http://schemas.microsoft.com/office/spreadsheetml/2009/9/main" objectType="CheckBox" fmlaLink="$AD$34" lockText="1" noThreeD="1"/>
</file>

<file path=xl/ctrlProps/ctrlProp151.xml><?xml version="1.0" encoding="utf-8"?>
<formControlPr xmlns="http://schemas.microsoft.com/office/spreadsheetml/2009/9/main" objectType="CheckBox" checked="Checked" fmlaLink="$AD$35" lockText="1" noThreeD="1"/>
</file>

<file path=xl/ctrlProps/ctrlProp16.xml><?xml version="1.0" encoding="utf-8"?>
<formControlPr xmlns="http://schemas.microsoft.com/office/spreadsheetml/2009/9/main" objectType="CheckBox" checked="Checked" fmlaLink="$AD$37" lockText="1" noThreeD="1"/>
</file>

<file path=xl/ctrlProps/ctrlProp17.xml><?xml version="1.0" encoding="utf-8"?>
<formControlPr xmlns="http://schemas.microsoft.com/office/spreadsheetml/2009/9/main" objectType="CheckBox" fmlaLink="$AG$12" lockText="1" noThreeD="1"/>
</file>

<file path=xl/ctrlProps/ctrlProp18.xml><?xml version="1.0" encoding="utf-8"?>
<formControlPr xmlns="http://schemas.microsoft.com/office/spreadsheetml/2009/9/main" objectType="CheckBox" fmlaLink="$AG$13" lockText="1" noThreeD="1"/>
</file>

<file path=xl/ctrlProps/ctrlProp19.xml><?xml version="1.0" encoding="utf-8"?>
<formControlPr xmlns="http://schemas.microsoft.com/office/spreadsheetml/2009/9/main" objectType="CheckBox" fmlaLink="$AD$34"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checked="Checked" fmlaLink="$AD$35" lockText="1" noThreeD="1"/>
</file>

<file path=xl/ctrlProps/ctrlProp21.xml><?xml version="1.0" encoding="utf-8"?>
<formControlPr xmlns="http://schemas.microsoft.com/office/spreadsheetml/2009/9/main" objectType="CheckBox" checked="Checked" fmlaLink="$AG$8" lockText="1" noThreeD="1"/>
</file>

<file path=xl/ctrlProps/ctrlProp22.xml><?xml version="1.0" encoding="utf-8"?>
<formControlPr xmlns="http://schemas.microsoft.com/office/spreadsheetml/2009/9/main" objectType="CheckBox" checked="Checked" fmlaLink="$AG$9" lockText="1" noThreeD="1"/>
</file>

<file path=xl/ctrlProps/ctrlProp23.xml><?xml version="1.0" encoding="utf-8"?>
<formControlPr xmlns="http://schemas.microsoft.com/office/spreadsheetml/2009/9/main" objectType="CheckBox" fmlaLink="$AG$15" lockText="1" noThreeD="1"/>
</file>

<file path=xl/ctrlProps/ctrlProp24.xml><?xml version="1.0" encoding="utf-8"?>
<formControlPr xmlns="http://schemas.microsoft.com/office/spreadsheetml/2009/9/main" objectType="CheckBox" fmlaLink="$AG$16" lockText="1" noThreeD="1"/>
</file>

<file path=xl/ctrlProps/ctrlProp25.xml><?xml version="1.0" encoding="utf-8"?>
<formControlPr xmlns="http://schemas.microsoft.com/office/spreadsheetml/2009/9/main" objectType="CheckBox" fmlaLink="$AG$17" lockText="1" noThreeD="1"/>
</file>

<file path=xl/ctrlProps/ctrlProp26.xml><?xml version="1.0" encoding="utf-8"?>
<formControlPr xmlns="http://schemas.microsoft.com/office/spreadsheetml/2009/9/main" objectType="CheckBox" fmlaLink="$AG$18" lockText="1" noThreeD="1"/>
</file>

<file path=xl/ctrlProps/ctrlProp27.xml><?xml version="1.0" encoding="utf-8"?>
<formControlPr xmlns="http://schemas.microsoft.com/office/spreadsheetml/2009/9/main" objectType="CheckBox" fmlaLink="$AG$19" lockText="1" noThreeD="1"/>
</file>

<file path=xl/ctrlProps/ctrlProp28.xml><?xml version="1.0" encoding="utf-8"?>
<formControlPr xmlns="http://schemas.microsoft.com/office/spreadsheetml/2009/9/main" objectType="CheckBox" checked="Checked" fmlaLink="$AG$10" lockText="1" noThreeD="1"/>
</file>

<file path=xl/ctrlProps/ctrlProp29.xml><?xml version="1.0" encoding="utf-8"?>
<formControlPr xmlns="http://schemas.microsoft.com/office/spreadsheetml/2009/9/main" objectType="CheckBox" fmlaLink="$AG$11"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fmlaLink="$AG$14" lockText="1" noThreeD="1"/>
</file>

<file path=xl/ctrlProps/ctrlProp31.xml><?xml version="1.0" encoding="utf-8"?>
<formControlPr xmlns="http://schemas.microsoft.com/office/spreadsheetml/2009/9/main" objectType="CheckBox" fmlaLink="$AD$33" lockText="1" noThreeD="1"/>
</file>

<file path=xl/ctrlProps/ctrlProp32.xml><?xml version="1.0" encoding="utf-8"?>
<formControlPr xmlns="http://schemas.microsoft.com/office/spreadsheetml/2009/9/main" objectType="CheckBox" fmlaLink="$AD$36" lockText="1" noThreeD="1"/>
</file>

<file path=xl/ctrlProps/ctrlProp33.xml><?xml version="1.0" encoding="utf-8"?>
<formControlPr xmlns="http://schemas.microsoft.com/office/spreadsheetml/2009/9/main" objectType="CheckBox" checked="Checked" fmlaLink="$AD$37" lockText="1" noThreeD="1"/>
</file>

<file path=xl/ctrlProps/ctrlProp34.xml><?xml version="1.0" encoding="utf-8"?>
<formControlPr xmlns="http://schemas.microsoft.com/office/spreadsheetml/2009/9/main" objectType="CheckBox" fmlaLink="$AG$12" lockText="1" noThreeD="1"/>
</file>

<file path=xl/ctrlProps/ctrlProp35.xml><?xml version="1.0" encoding="utf-8"?>
<formControlPr xmlns="http://schemas.microsoft.com/office/spreadsheetml/2009/9/main" objectType="CheckBox" fmlaLink="$AG$13" lockText="1" noThreeD="1"/>
</file>

<file path=xl/ctrlProps/ctrlProp36.xml><?xml version="1.0" encoding="utf-8"?>
<formControlPr xmlns="http://schemas.microsoft.com/office/spreadsheetml/2009/9/main" objectType="CheckBox" fmlaLink="$AD$34" lockText="1" noThreeD="1"/>
</file>

<file path=xl/ctrlProps/ctrlProp37.xml><?xml version="1.0" encoding="utf-8"?>
<formControlPr xmlns="http://schemas.microsoft.com/office/spreadsheetml/2009/9/main" objectType="CheckBox" checked="Checked" fmlaLink="$AD$35" lockText="1" noThreeD="1"/>
</file>

<file path=xl/ctrlProps/ctrlProp38.xml><?xml version="1.0" encoding="utf-8"?>
<formControlPr xmlns="http://schemas.microsoft.com/office/spreadsheetml/2009/9/main" objectType="CheckBox" checked="Checked" fmlaLink="$AG$8" lockText="1" noThreeD="1"/>
</file>

<file path=xl/ctrlProps/ctrlProp39.xml><?xml version="1.0" encoding="utf-8"?>
<formControlPr xmlns="http://schemas.microsoft.com/office/spreadsheetml/2009/9/main" objectType="CheckBox" checked="Checked" fmlaLink="$AG$9" lockText="1" noThreeD="1"/>
</file>

<file path=xl/ctrlProps/ctrlProp4.xml><?xml version="1.0" encoding="utf-8"?>
<formControlPr xmlns="http://schemas.microsoft.com/office/spreadsheetml/2009/9/main" objectType="CheckBox" checked="Checked" fmlaLink="$AG$8" lockText="1" noThreeD="1"/>
</file>

<file path=xl/ctrlProps/ctrlProp40.xml><?xml version="1.0" encoding="utf-8"?>
<formControlPr xmlns="http://schemas.microsoft.com/office/spreadsheetml/2009/9/main" objectType="CheckBox" fmlaLink="$AG$15" lockText="1" noThreeD="1"/>
</file>

<file path=xl/ctrlProps/ctrlProp41.xml><?xml version="1.0" encoding="utf-8"?>
<formControlPr xmlns="http://schemas.microsoft.com/office/spreadsheetml/2009/9/main" objectType="CheckBox" fmlaLink="$AG$16" lockText="1" noThreeD="1"/>
</file>

<file path=xl/ctrlProps/ctrlProp42.xml><?xml version="1.0" encoding="utf-8"?>
<formControlPr xmlns="http://schemas.microsoft.com/office/spreadsheetml/2009/9/main" objectType="CheckBox" fmlaLink="$AG$17" lockText="1" noThreeD="1"/>
</file>

<file path=xl/ctrlProps/ctrlProp43.xml><?xml version="1.0" encoding="utf-8"?>
<formControlPr xmlns="http://schemas.microsoft.com/office/spreadsheetml/2009/9/main" objectType="CheckBox" fmlaLink="$AG$18" lockText="1" noThreeD="1"/>
</file>

<file path=xl/ctrlProps/ctrlProp44.xml><?xml version="1.0" encoding="utf-8"?>
<formControlPr xmlns="http://schemas.microsoft.com/office/spreadsheetml/2009/9/main" objectType="CheckBox" fmlaLink="$AG$19" lockText="1" noThreeD="1"/>
</file>

<file path=xl/ctrlProps/ctrlProp45.xml><?xml version="1.0" encoding="utf-8"?>
<formControlPr xmlns="http://schemas.microsoft.com/office/spreadsheetml/2009/9/main" objectType="CheckBox" checked="Checked" fmlaLink="$AG$10" lockText="1" noThreeD="1"/>
</file>

<file path=xl/ctrlProps/ctrlProp46.xml><?xml version="1.0" encoding="utf-8"?>
<formControlPr xmlns="http://schemas.microsoft.com/office/spreadsheetml/2009/9/main" objectType="CheckBox" checked="Checked" fmlaLink="$AG$11" lockText="1" noThreeD="1"/>
</file>

<file path=xl/ctrlProps/ctrlProp47.xml><?xml version="1.0" encoding="utf-8"?>
<formControlPr xmlns="http://schemas.microsoft.com/office/spreadsheetml/2009/9/main" objectType="CheckBox" fmlaLink="$AG$14" lockText="1" noThreeD="1"/>
</file>

<file path=xl/ctrlProps/ctrlProp48.xml><?xml version="1.0" encoding="utf-8"?>
<formControlPr xmlns="http://schemas.microsoft.com/office/spreadsheetml/2009/9/main" objectType="CheckBox" fmlaLink="$AD$33" lockText="1" noThreeD="1"/>
</file>

<file path=xl/ctrlProps/ctrlProp49.xml><?xml version="1.0" encoding="utf-8"?>
<formControlPr xmlns="http://schemas.microsoft.com/office/spreadsheetml/2009/9/main" objectType="CheckBox" fmlaLink="$AD$36" lockText="1" noThreeD="1"/>
</file>

<file path=xl/ctrlProps/ctrlProp5.xml><?xml version="1.0" encoding="utf-8"?>
<formControlPr xmlns="http://schemas.microsoft.com/office/spreadsheetml/2009/9/main" objectType="CheckBox" checked="Checked" fmlaLink="$AG$9" lockText="1" noThreeD="1"/>
</file>

<file path=xl/ctrlProps/ctrlProp50.xml><?xml version="1.0" encoding="utf-8"?>
<formControlPr xmlns="http://schemas.microsoft.com/office/spreadsheetml/2009/9/main" objectType="CheckBox" checked="Checked" fmlaLink="$AD$37" lockText="1" noThreeD="1"/>
</file>

<file path=xl/ctrlProps/ctrlProp51.xml><?xml version="1.0" encoding="utf-8"?>
<formControlPr xmlns="http://schemas.microsoft.com/office/spreadsheetml/2009/9/main" objectType="CheckBox" checked="Checked" fmlaLink="$AG$12" lockText="1" noThreeD="1"/>
</file>

<file path=xl/ctrlProps/ctrlProp52.xml><?xml version="1.0" encoding="utf-8"?>
<formControlPr xmlns="http://schemas.microsoft.com/office/spreadsheetml/2009/9/main" objectType="CheckBox" checked="Checked" fmlaLink="$AG$13" lockText="1" noThreeD="1"/>
</file>

<file path=xl/ctrlProps/ctrlProp53.xml><?xml version="1.0" encoding="utf-8"?>
<formControlPr xmlns="http://schemas.microsoft.com/office/spreadsheetml/2009/9/main" objectType="CheckBox" fmlaLink="$AD$34" lockText="1" noThreeD="1"/>
</file>

<file path=xl/ctrlProps/ctrlProp54.xml><?xml version="1.0" encoding="utf-8"?>
<formControlPr xmlns="http://schemas.microsoft.com/office/spreadsheetml/2009/9/main" objectType="CheckBox" checked="Checked" fmlaLink="$AD$35" lockText="1" noThreeD="1"/>
</file>

<file path=xl/ctrlProps/ctrlProp55.xml><?xml version="1.0" encoding="utf-8"?>
<formControlPr xmlns="http://schemas.microsoft.com/office/spreadsheetml/2009/9/main" objectType="CheckBox" checked="Checked" fmlaLink="$AG$8" lockText="1" noThreeD="1"/>
</file>

<file path=xl/ctrlProps/ctrlProp56.xml><?xml version="1.0" encoding="utf-8"?>
<formControlPr xmlns="http://schemas.microsoft.com/office/spreadsheetml/2009/9/main" objectType="CheckBox" checked="Checked" fmlaLink="$AG$9" lockText="1" noThreeD="1"/>
</file>

<file path=xl/ctrlProps/ctrlProp57.xml><?xml version="1.0" encoding="utf-8"?>
<formControlPr xmlns="http://schemas.microsoft.com/office/spreadsheetml/2009/9/main" objectType="CheckBox" fmlaLink="$AG$15" lockText="1" noThreeD="1"/>
</file>

<file path=xl/ctrlProps/ctrlProp58.xml><?xml version="1.0" encoding="utf-8"?>
<formControlPr xmlns="http://schemas.microsoft.com/office/spreadsheetml/2009/9/main" objectType="CheckBox" fmlaLink="$AG$16" lockText="1" noThreeD="1"/>
</file>

<file path=xl/ctrlProps/ctrlProp59.xml><?xml version="1.0" encoding="utf-8"?>
<formControlPr xmlns="http://schemas.microsoft.com/office/spreadsheetml/2009/9/main" objectType="CheckBox" fmlaLink="$AG$17" lockText="1" noThreeD="1"/>
</file>

<file path=xl/ctrlProps/ctrlProp6.xml><?xml version="1.0" encoding="utf-8"?>
<formControlPr xmlns="http://schemas.microsoft.com/office/spreadsheetml/2009/9/main" objectType="CheckBox" fmlaLink="$AG$15" lockText="1" noThreeD="1"/>
</file>

<file path=xl/ctrlProps/ctrlProp60.xml><?xml version="1.0" encoding="utf-8"?>
<formControlPr xmlns="http://schemas.microsoft.com/office/spreadsheetml/2009/9/main" objectType="CheckBox" fmlaLink="$AG$18" lockText="1" noThreeD="1"/>
</file>

<file path=xl/ctrlProps/ctrlProp61.xml><?xml version="1.0" encoding="utf-8"?>
<formControlPr xmlns="http://schemas.microsoft.com/office/spreadsheetml/2009/9/main" objectType="CheckBox" fmlaLink="$AG$19" lockText="1" noThreeD="1"/>
</file>

<file path=xl/ctrlProps/ctrlProp62.xml><?xml version="1.0" encoding="utf-8"?>
<formControlPr xmlns="http://schemas.microsoft.com/office/spreadsheetml/2009/9/main" objectType="CheckBox" checked="Checked" fmlaLink="$AG$10" lockText="1" noThreeD="1"/>
</file>

<file path=xl/ctrlProps/ctrlProp63.xml><?xml version="1.0" encoding="utf-8"?>
<formControlPr xmlns="http://schemas.microsoft.com/office/spreadsheetml/2009/9/main" objectType="CheckBox" checked="Checked" fmlaLink="$AG$11" lockText="1" noThreeD="1"/>
</file>

<file path=xl/ctrlProps/ctrlProp64.xml><?xml version="1.0" encoding="utf-8"?>
<formControlPr xmlns="http://schemas.microsoft.com/office/spreadsheetml/2009/9/main" objectType="CheckBox" fmlaLink="$AG$14" lockText="1" noThreeD="1"/>
</file>

<file path=xl/ctrlProps/ctrlProp65.xml><?xml version="1.0" encoding="utf-8"?>
<formControlPr xmlns="http://schemas.microsoft.com/office/spreadsheetml/2009/9/main" objectType="CheckBox" fmlaLink="$AD$33" lockText="1" noThreeD="1"/>
</file>

<file path=xl/ctrlProps/ctrlProp66.xml><?xml version="1.0" encoding="utf-8"?>
<formControlPr xmlns="http://schemas.microsoft.com/office/spreadsheetml/2009/9/main" objectType="CheckBox" fmlaLink="$AD$36" lockText="1" noThreeD="1"/>
</file>

<file path=xl/ctrlProps/ctrlProp67.xml><?xml version="1.0" encoding="utf-8"?>
<formControlPr xmlns="http://schemas.microsoft.com/office/spreadsheetml/2009/9/main" objectType="CheckBox" checked="Checked" fmlaLink="$AD$37" lockText="1" noThreeD="1"/>
</file>

<file path=xl/ctrlProps/ctrlProp68.xml><?xml version="1.0" encoding="utf-8"?>
<formControlPr xmlns="http://schemas.microsoft.com/office/spreadsheetml/2009/9/main" objectType="CheckBox" checked="Checked" fmlaLink="$AG$12" lockText="1" noThreeD="1"/>
</file>

<file path=xl/ctrlProps/ctrlProp69.xml><?xml version="1.0" encoding="utf-8"?>
<formControlPr xmlns="http://schemas.microsoft.com/office/spreadsheetml/2009/9/main" objectType="CheckBox" fmlaLink="$AG$13" lockText="1" noThreeD="1"/>
</file>

<file path=xl/ctrlProps/ctrlProp7.xml><?xml version="1.0" encoding="utf-8"?>
<formControlPr xmlns="http://schemas.microsoft.com/office/spreadsheetml/2009/9/main" objectType="CheckBox" fmlaLink="$AG$16" lockText="1" noThreeD="1"/>
</file>

<file path=xl/ctrlProps/ctrlProp70.xml><?xml version="1.0" encoding="utf-8"?>
<formControlPr xmlns="http://schemas.microsoft.com/office/spreadsheetml/2009/9/main" objectType="CheckBox" fmlaLink="$AD$34" lockText="1" noThreeD="1"/>
</file>

<file path=xl/ctrlProps/ctrlProp71.xml><?xml version="1.0" encoding="utf-8"?>
<formControlPr xmlns="http://schemas.microsoft.com/office/spreadsheetml/2009/9/main" objectType="CheckBox" checked="Checked" fmlaLink="$AD$35" lockText="1" noThreeD="1"/>
</file>

<file path=xl/ctrlProps/ctrlProp72.xml><?xml version="1.0" encoding="utf-8"?>
<formControlPr xmlns="http://schemas.microsoft.com/office/spreadsheetml/2009/9/main" objectType="CheckBox" checked="Checked" fmlaLink="$AG$8" lockText="1" noThreeD="1"/>
</file>

<file path=xl/ctrlProps/ctrlProp73.xml><?xml version="1.0" encoding="utf-8"?>
<formControlPr xmlns="http://schemas.microsoft.com/office/spreadsheetml/2009/9/main" objectType="CheckBox" checked="Checked" fmlaLink="$AG$9" lockText="1" noThreeD="1"/>
</file>

<file path=xl/ctrlProps/ctrlProp74.xml><?xml version="1.0" encoding="utf-8"?>
<formControlPr xmlns="http://schemas.microsoft.com/office/spreadsheetml/2009/9/main" objectType="CheckBox" fmlaLink="$AG$15" lockText="1" noThreeD="1"/>
</file>

<file path=xl/ctrlProps/ctrlProp75.xml><?xml version="1.0" encoding="utf-8"?>
<formControlPr xmlns="http://schemas.microsoft.com/office/spreadsheetml/2009/9/main" objectType="CheckBox" fmlaLink="$AG$16" lockText="1" noThreeD="1"/>
</file>

<file path=xl/ctrlProps/ctrlProp76.xml><?xml version="1.0" encoding="utf-8"?>
<formControlPr xmlns="http://schemas.microsoft.com/office/spreadsheetml/2009/9/main" objectType="CheckBox" fmlaLink="$AG$17" lockText="1" noThreeD="1"/>
</file>

<file path=xl/ctrlProps/ctrlProp77.xml><?xml version="1.0" encoding="utf-8"?>
<formControlPr xmlns="http://schemas.microsoft.com/office/spreadsheetml/2009/9/main" objectType="CheckBox" fmlaLink="$AG$18" lockText="1" noThreeD="1"/>
</file>

<file path=xl/ctrlProps/ctrlProp78.xml><?xml version="1.0" encoding="utf-8"?>
<formControlPr xmlns="http://schemas.microsoft.com/office/spreadsheetml/2009/9/main" objectType="CheckBox" fmlaLink="$AG$19" lockText="1" noThreeD="1"/>
</file>

<file path=xl/ctrlProps/ctrlProp79.xml><?xml version="1.0" encoding="utf-8"?>
<formControlPr xmlns="http://schemas.microsoft.com/office/spreadsheetml/2009/9/main" objectType="CheckBox" checked="Checked" fmlaLink="$AG$10" lockText="1" noThreeD="1"/>
</file>

<file path=xl/ctrlProps/ctrlProp8.xml><?xml version="1.0" encoding="utf-8"?>
<formControlPr xmlns="http://schemas.microsoft.com/office/spreadsheetml/2009/9/main" objectType="CheckBox" fmlaLink="$AG$17" lockText="1" noThreeD="1"/>
</file>

<file path=xl/ctrlProps/ctrlProp80.xml><?xml version="1.0" encoding="utf-8"?>
<formControlPr xmlns="http://schemas.microsoft.com/office/spreadsheetml/2009/9/main" objectType="CheckBox" checked="Checked" fmlaLink="$AG$11" lockText="1" noThreeD="1"/>
</file>

<file path=xl/ctrlProps/ctrlProp81.xml><?xml version="1.0" encoding="utf-8"?>
<formControlPr xmlns="http://schemas.microsoft.com/office/spreadsheetml/2009/9/main" objectType="CheckBox" fmlaLink="$AG$14" lockText="1" noThreeD="1"/>
</file>

<file path=xl/ctrlProps/ctrlProp82.xml><?xml version="1.0" encoding="utf-8"?>
<formControlPr xmlns="http://schemas.microsoft.com/office/spreadsheetml/2009/9/main" objectType="CheckBox" checked="Checked" fmlaLink="$AG$12" lockText="1" noThreeD="1"/>
</file>

<file path=xl/ctrlProps/ctrlProp83.xml><?xml version="1.0" encoding="utf-8"?>
<formControlPr xmlns="http://schemas.microsoft.com/office/spreadsheetml/2009/9/main" objectType="CheckBox" fmlaLink="$AG$13" lockText="1" noThreeD="1"/>
</file>

<file path=xl/ctrlProps/ctrlProp84.xml><?xml version="1.0" encoding="utf-8"?>
<formControlPr xmlns="http://schemas.microsoft.com/office/spreadsheetml/2009/9/main" objectType="CheckBox" fmlaLink="$AG$8" lockText="1" noThreeD="1"/>
</file>

<file path=xl/ctrlProps/ctrlProp85.xml><?xml version="1.0" encoding="utf-8"?>
<formControlPr xmlns="http://schemas.microsoft.com/office/spreadsheetml/2009/9/main" objectType="CheckBox" fmlaLink="$AG$9" lockText="1" noThreeD="1"/>
</file>

<file path=xl/ctrlProps/ctrlProp86.xml><?xml version="1.0" encoding="utf-8"?>
<formControlPr xmlns="http://schemas.microsoft.com/office/spreadsheetml/2009/9/main" objectType="CheckBox" fmlaLink="$AG$15" lockText="1" noThreeD="1"/>
</file>

<file path=xl/ctrlProps/ctrlProp87.xml><?xml version="1.0" encoding="utf-8"?>
<formControlPr xmlns="http://schemas.microsoft.com/office/spreadsheetml/2009/9/main" objectType="CheckBox" fmlaLink="$AG$16" lockText="1" noThreeD="1"/>
</file>

<file path=xl/ctrlProps/ctrlProp88.xml><?xml version="1.0" encoding="utf-8"?>
<formControlPr xmlns="http://schemas.microsoft.com/office/spreadsheetml/2009/9/main" objectType="CheckBox" fmlaLink="$AG$17" lockText="1" noThreeD="1"/>
</file>

<file path=xl/ctrlProps/ctrlProp89.xml><?xml version="1.0" encoding="utf-8"?>
<formControlPr xmlns="http://schemas.microsoft.com/office/spreadsheetml/2009/9/main" objectType="CheckBox" fmlaLink="$AG$18" lockText="1" noThreeD="1"/>
</file>

<file path=xl/ctrlProps/ctrlProp9.xml><?xml version="1.0" encoding="utf-8"?>
<formControlPr xmlns="http://schemas.microsoft.com/office/spreadsheetml/2009/9/main" objectType="CheckBox" fmlaLink="$AG$18" lockText="1" noThreeD="1"/>
</file>

<file path=xl/ctrlProps/ctrlProp90.xml><?xml version="1.0" encoding="utf-8"?>
<formControlPr xmlns="http://schemas.microsoft.com/office/spreadsheetml/2009/9/main" objectType="CheckBox" fmlaLink="$AG$19" lockText="1" noThreeD="1"/>
</file>

<file path=xl/ctrlProps/ctrlProp91.xml><?xml version="1.0" encoding="utf-8"?>
<formControlPr xmlns="http://schemas.microsoft.com/office/spreadsheetml/2009/9/main" objectType="CheckBox" fmlaLink="$AG$10" lockText="1" noThreeD="1"/>
</file>

<file path=xl/ctrlProps/ctrlProp92.xml><?xml version="1.0" encoding="utf-8"?>
<formControlPr xmlns="http://schemas.microsoft.com/office/spreadsheetml/2009/9/main" objectType="CheckBox" fmlaLink="$AG$11" lockText="1" noThreeD="1"/>
</file>

<file path=xl/ctrlProps/ctrlProp93.xml><?xml version="1.0" encoding="utf-8"?>
<formControlPr xmlns="http://schemas.microsoft.com/office/spreadsheetml/2009/9/main" objectType="CheckBox" fmlaLink="$AG$14" lockText="1" noThreeD="1"/>
</file>

<file path=xl/ctrlProps/ctrlProp94.xml><?xml version="1.0" encoding="utf-8"?>
<formControlPr xmlns="http://schemas.microsoft.com/office/spreadsheetml/2009/9/main" objectType="CheckBox" fmlaLink="$AD$33" lockText="1" noThreeD="1"/>
</file>

<file path=xl/ctrlProps/ctrlProp95.xml><?xml version="1.0" encoding="utf-8"?>
<formControlPr xmlns="http://schemas.microsoft.com/office/spreadsheetml/2009/9/main" objectType="CheckBox" fmlaLink="$AD$36" lockText="1" noThreeD="1"/>
</file>

<file path=xl/ctrlProps/ctrlProp96.xml><?xml version="1.0" encoding="utf-8"?>
<formControlPr xmlns="http://schemas.microsoft.com/office/spreadsheetml/2009/9/main" objectType="CheckBox" checked="Checked" fmlaLink="$AD$37" lockText="1" noThreeD="1"/>
</file>

<file path=xl/ctrlProps/ctrlProp97.xml><?xml version="1.0" encoding="utf-8"?>
<formControlPr xmlns="http://schemas.microsoft.com/office/spreadsheetml/2009/9/main" objectType="CheckBox" fmlaLink="$AG$12" lockText="1" noThreeD="1"/>
</file>

<file path=xl/ctrlProps/ctrlProp98.xml><?xml version="1.0" encoding="utf-8"?>
<formControlPr xmlns="http://schemas.microsoft.com/office/spreadsheetml/2009/9/main" objectType="CheckBox" fmlaLink="$AG$13" lockText="1" noThreeD="1"/>
</file>

<file path=xl/ctrlProps/ctrlProp99.xml><?xml version="1.0" encoding="utf-8"?>
<formControlPr xmlns="http://schemas.microsoft.com/office/spreadsheetml/2009/9/main" objectType="CheckBox" fmlaLink="$AD$34" lockText="1" noThreeD="1"/>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28575</xdr:colOff>
          <xdr:row>15</xdr:row>
          <xdr:rowOff>85725</xdr:rowOff>
        </xdr:from>
        <xdr:to>
          <xdr:col>26</xdr:col>
          <xdr:colOff>57150</xdr:colOff>
          <xdr:row>15</xdr:row>
          <xdr:rowOff>295275</xdr:rowOff>
        </xdr:to>
        <xdr:sp macro="" textlink="">
          <xdr:nvSpPr>
            <xdr:cNvPr id="94214" name="Option Button 6" hidden="1">
              <a:extLst>
                <a:ext uri="{63B3BB69-23CF-44E3-9099-C40C66FF867C}">
                  <a14:compatExt spid="_x0000_s94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16</xdr:row>
          <xdr:rowOff>85725</xdr:rowOff>
        </xdr:from>
        <xdr:to>
          <xdr:col>26</xdr:col>
          <xdr:colOff>57150</xdr:colOff>
          <xdr:row>16</xdr:row>
          <xdr:rowOff>295275</xdr:rowOff>
        </xdr:to>
        <xdr:sp macro="" textlink="">
          <xdr:nvSpPr>
            <xdr:cNvPr id="94215" name="Option Button 7" hidden="1">
              <a:extLst>
                <a:ext uri="{63B3BB69-23CF-44E3-9099-C40C66FF867C}">
                  <a14:compatExt spid="_x0000_s94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17</xdr:row>
          <xdr:rowOff>85725</xdr:rowOff>
        </xdr:from>
        <xdr:to>
          <xdr:col>26</xdr:col>
          <xdr:colOff>57150</xdr:colOff>
          <xdr:row>17</xdr:row>
          <xdr:rowOff>295275</xdr:rowOff>
        </xdr:to>
        <xdr:sp macro="" textlink="">
          <xdr:nvSpPr>
            <xdr:cNvPr id="94216" name="Option Button 8" hidden="1">
              <a:extLst>
                <a:ext uri="{63B3BB69-23CF-44E3-9099-C40C66FF867C}">
                  <a14:compatExt spid="_x0000_s94216"/>
                </a:ext>
              </a:extLst>
            </xdr:cNvPr>
            <xdr:cNvSpPr/>
          </xdr:nvSpPr>
          <xdr:spPr>
            <a:xfrm>
              <a:off x="0" y="0"/>
              <a:ext cx="0" cy="0"/>
            </a:xfrm>
            <a:prstGeom prst="rect">
              <a:avLst/>
            </a:prstGeom>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5</xdr:col>
      <xdr:colOff>247650</xdr:colOff>
      <xdr:row>34</xdr:row>
      <xdr:rowOff>9525</xdr:rowOff>
    </xdr:from>
    <xdr:to>
      <xdr:col>24</xdr:col>
      <xdr:colOff>85725</xdr:colOff>
      <xdr:row>43</xdr:row>
      <xdr:rowOff>161925</xdr:rowOff>
    </xdr:to>
    <xdr:pic>
      <xdr:nvPicPr>
        <xdr:cNvPr id="107725" name="Picture 4">
          <a:extLst>
            <a:ext uri="{FF2B5EF4-FFF2-40B4-BE49-F238E27FC236}">
              <a16:creationId xmlns="" xmlns:a16="http://schemas.microsoft.com/office/drawing/2014/main" id="{00000000-0008-0000-0B00-0000CDA4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8750" y="8315325"/>
          <a:ext cx="5086350" cy="2381250"/>
        </a:xfrm>
        <a:prstGeom prst="rect">
          <a:avLst/>
        </a:prstGeom>
        <a:noFill/>
        <a:ln w="9525">
          <a:noFill/>
          <a:miter lim="800000"/>
          <a:headEnd/>
          <a:tailEnd/>
        </a:ln>
      </xdr:spPr>
    </xdr:pic>
    <xdr:clientData/>
  </xdr:twoCellAnchor>
  <xdr:twoCellAnchor>
    <xdr:from>
      <xdr:col>20</xdr:col>
      <xdr:colOff>273340</xdr:colOff>
      <xdr:row>4</xdr:row>
      <xdr:rowOff>4271</xdr:rowOff>
    </xdr:from>
    <xdr:to>
      <xdr:col>27</xdr:col>
      <xdr:colOff>200025</xdr:colOff>
      <xdr:row>9</xdr:row>
      <xdr:rowOff>200025</xdr:rowOff>
    </xdr:to>
    <xdr:sp macro="" textlink="">
      <xdr:nvSpPr>
        <xdr:cNvPr id="3" name="テキスト ボックス 2">
          <a:extLst>
            <a:ext uri="{FF2B5EF4-FFF2-40B4-BE49-F238E27FC236}">
              <a16:creationId xmlns="" xmlns:a16="http://schemas.microsoft.com/office/drawing/2014/main" id="{00000000-0008-0000-0B00-000003000000}"/>
            </a:ext>
          </a:extLst>
        </xdr:cNvPr>
        <xdr:cNvSpPr txBox="1"/>
      </xdr:nvSpPr>
      <xdr:spPr bwMode="auto">
        <a:xfrm>
          <a:off x="5597815" y="880571"/>
          <a:ext cx="1860260" cy="1434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1)</a:t>
          </a:r>
          <a:r>
            <a:rPr kumimoji="1" lang="ja-JP" altLang="en-US" sz="1000"/>
            <a:t>土間床等面積の算出</a:t>
          </a:r>
          <a:endParaRPr kumimoji="1" lang="en-US" altLang="ja-JP" sz="1000"/>
        </a:p>
        <a:p>
          <a:pPr>
            <a:lnSpc>
              <a:spcPts val="500"/>
            </a:lnSpc>
          </a:pPr>
          <a:endParaRPr kumimoji="1" lang="en-US" altLang="ja-JP" sz="1000"/>
        </a:p>
        <a:p>
          <a:pPr>
            <a:lnSpc>
              <a:spcPts val="1100"/>
            </a:lnSpc>
          </a:pPr>
          <a:r>
            <a:rPr kumimoji="1" lang="ja-JP" altLang="en-US" sz="1000"/>
            <a:t>　基礎断熱の場合</a:t>
          </a:r>
          <a:endParaRPr kumimoji="1" lang="en-US" altLang="ja-JP" sz="1000"/>
        </a:p>
        <a:p>
          <a:pPr>
            <a:lnSpc>
              <a:spcPts val="1100"/>
            </a:lnSpc>
          </a:pPr>
          <a:r>
            <a:rPr kumimoji="1" lang="ja-JP" altLang="en-US" sz="1000"/>
            <a:t>　　Ｌ１</a:t>
          </a:r>
          <a:r>
            <a:rPr kumimoji="1" lang="en-US" altLang="ja-JP" sz="1000"/>
            <a:t>×</a:t>
          </a:r>
          <a:r>
            <a:rPr kumimoji="1" lang="ja-JP" altLang="en-US" sz="1000"/>
            <a:t>Ｌ２</a:t>
          </a:r>
          <a:endParaRPr kumimoji="1" lang="en-US" altLang="ja-JP" sz="1000"/>
        </a:p>
        <a:p>
          <a:pPr>
            <a:lnSpc>
              <a:spcPts val="1100"/>
            </a:lnSpc>
          </a:pPr>
          <a:r>
            <a:rPr kumimoji="1" lang="ja-JP" altLang="en-US" sz="1000"/>
            <a:t>　土間床部分の場合</a:t>
          </a:r>
          <a:endParaRPr kumimoji="1" lang="en-US" altLang="ja-JP" sz="1000"/>
        </a:p>
        <a:p>
          <a:pPr>
            <a:lnSpc>
              <a:spcPts val="1100"/>
            </a:lnSpc>
          </a:pPr>
          <a:r>
            <a:rPr kumimoji="1" lang="ja-JP" altLang="en-US" sz="1000"/>
            <a:t>　　Ｌ３</a:t>
          </a:r>
          <a:r>
            <a:rPr kumimoji="1" lang="en-US" altLang="ja-JP" sz="1000"/>
            <a:t>×</a:t>
          </a:r>
          <a:r>
            <a:rPr kumimoji="1" lang="ja-JP" altLang="en-US" sz="1000"/>
            <a:t>Ｌ４</a:t>
          </a:r>
          <a:endParaRPr kumimoji="1" lang="en-US" altLang="ja-JP" sz="1000"/>
        </a:p>
        <a:p>
          <a:pPr>
            <a:lnSpc>
              <a:spcPts val="1100"/>
            </a:lnSpc>
          </a:pPr>
          <a:r>
            <a:rPr kumimoji="1" lang="ja-JP" altLang="en-US" sz="1000"/>
            <a:t>　を求め入力する。</a:t>
          </a:r>
        </a:p>
      </xdr:txBody>
    </xdr:sp>
    <xdr:clientData/>
  </xdr:twoCellAnchor>
  <xdr:twoCellAnchor>
    <xdr:from>
      <xdr:col>21</xdr:col>
      <xdr:colOff>10602</xdr:colOff>
      <xdr:row>9</xdr:row>
      <xdr:rowOff>4272</xdr:rowOff>
    </xdr:from>
    <xdr:to>
      <xdr:col>28</xdr:col>
      <xdr:colOff>47625</xdr:colOff>
      <xdr:row>15</xdr:row>
      <xdr:rowOff>104775</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bwMode="auto">
        <a:xfrm>
          <a:off x="5611302" y="2118822"/>
          <a:ext cx="1970598" cy="1586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3)</a:t>
          </a:r>
          <a:r>
            <a:rPr kumimoji="1" lang="ja-JP" altLang="en-US" sz="1000"/>
            <a:t>基礎外周長さＬの算出</a:t>
          </a:r>
          <a:endParaRPr kumimoji="1" lang="en-US" altLang="ja-JP" sz="1000"/>
        </a:p>
        <a:p>
          <a:pPr>
            <a:lnSpc>
              <a:spcPts val="500"/>
            </a:lnSpc>
          </a:pPr>
          <a:endParaRPr kumimoji="1" lang="en-US" altLang="ja-JP" sz="1000"/>
        </a:p>
        <a:p>
          <a:pPr>
            <a:lnSpc>
              <a:spcPts val="1100"/>
            </a:lnSpc>
          </a:pPr>
          <a:r>
            <a:rPr kumimoji="1" lang="ja-JP" altLang="en-US" sz="1000"/>
            <a:t>　基礎断熱の場合</a:t>
          </a:r>
          <a:endParaRPr kumimoji="1" lang="en-US" altLang="ja-JP" sz="1000"/>
        </a:p>
        <a:p>
          <a:pPr>
            <a:lnSpc>
              <a:spcPts val="1100"/>
            </a:lnSpc>
          </a:pPr>
          <a:r>
            <a:rPr kumimoji="1" lang="ja-JP" altLang="en-US" sz="1000"/>
            <a:t>　　（Ｌ１＋Ｌ２）</a:t>
          </a:r>
          <a:r>
            <a:rPr kumimoji="1" lang="en-US" altLang="ja-JP" sz="1000"/>
            <a:t>×</a:t>
          </a:r>
          <a:r>
            <a:rPr kumimoji="1" lang="ja-JP" altLang="en-US" sz="1000"/>
            <a:t>２＝Ｌ</a:t>
          </a:r>
          <a:endParaRPr kumimoji="1" lang="en-US" altLang="ja-JP" sz="1000"/>
        </a:p>
        <a:p>
          <a:pPr>
            <a:lnSpc>
              <a:spcPts val="1100"/>
            </a:lnSpc>
          </a:pPr>
          <a:r>
            <a:rPr kumimoji="1" lang="ja-JP" altLang="en-US" sz="1000"/>
            <a:t>　土間床部分の場合</a:t>
          </a:r>
          <a:endParaRPr kumimoji="1" lang="en-US" altLang="ja-JP" sz="1000"/>
        </a:p>
        <a:p>
          <a:pPr>
            <a:lnSpc>
              <a:spcPts val="1100"/>
            </a:lnSpc>
          </a:pPr>
          <a:r>
            <a:rPr kumimoji="1" lang="ja-JP" altLang="en-US" sz="1000"/>
            <a:t>　　・温度差係数</a:t>
          </a:r>
          <a:r>
            <a:rPr kumimoji="1" lang="en-US" altLang="ja-JP" sz="1000"/>
            <a:t>0.7</a:t>
          </a:r>
          <a:r>
            <a:rPr kumimoji="1" lang="ja-JP" altLang="en-US" sz="1000"/>
            <a:t>の部分</a:t>
          </a:r>
          <a:endParaRPr kumimoji="1" lang="en-US" altLang="ja-JP" sz="1000"/>
        </a:p>
        <a:p>
          <a:pPr>
            <a:lnSpc>
              <a:spcPts val="1100"/>
            </a:lnSpc>
          </a:pPr>
          <a:r>
            <a:rPr kumimoji="1" lang="ja-JP" altLang="en-US" sz="1000"/>
            <a:t>　　　Ｌ３＋Ｌ４</a:t>
          </a:r>
          <a:r>
            <a:rPr kumimoji="1" lang="en-US" altLang="ja-JP" sz="1000"/>
            <a:t>×</a:t>
          </a:r>
          <a:r>
            <a:rPr kumimoji="1" lang="ja-JP" altLang="en-US" sz="1000"/>
            <a:t>２＝Ｌ</a:t>
          </a:r>
          <a:endParaRPr kumimoji="1" lang="en-US" altLang="ja-JP" sz="1000"/>
        </a:p>
        <a:p>
          <a:pPr>
            <a:lnSpc>
              <a:spcPts val="1100"/>
            </a:lnSpc>
          </a:pPr>
          <a:r>
            <a:rPr kumimoji="1" lang="ja-JP" altLang="en-US" sz="1000"/>
            <a:t>　　・温度差係数</a:t>
          </a:r>
          <a:r>
            <a:rPr kumimoji="1" lang="en-US" altLang="ja-JP" sz="1000"/>
            <a:t>1.0</a:t>
          </a:r>
          <a:r>
            <a:rPr kumimoji="1" lang="ja-JP" altLang="en-US" sz="1000"/>
            <a:t>の部分</a:t>
          </a:r>
          <a:endParaRPr kumimoji="1" lang="en-US" altLang="ja-JP" sz="1000"/>
        </a:p>
        <a:p>
          <a:pPr>
            <a:lnSpc>
              <a:spcPts val="1100"/>
            </a:lnSpc>
          </a:pPr>
          <a:r>
            <a:rPr kumimoji="1" lang="ja-JP" altLang="en-US" sz="1000">
              <a:solidFill>
                <a:schemeClr val="dk1"/>
              </a:solidFill>
              <a:latin typeface="+mn-lt"/>
              <a:ea typeface="+mn-ea"/>
              <a:cs typeface="+mn-cs"/>
            </a:rPr>
            <a:t>　　　</a:t>
          </a:r>
          <a:r>
            <a:rPr kumimoji="1" lang="ja-JP" altLang="ja-JP" sz="1000">
              <a:solidFill>
                <a:schemeClr val="dk1"/>
              </a:solidFill>
              <a:latin typeface="+mn-lt"/>
              <a:ea typeface="+mn-ea"/>
              <a:cs typeface="+mn-cs"/>
            </a:rPr>
            <a:t>Ｌ３＝Ｌ</a:t>
          </a:r>
          <a:endParaRPr kumimoji="1" lang="en-US" altLang="ja-JP" sz="1000"/>
        </a:p>
        <a:p>
          <a:pPr>
            <a:lnSpc>
              <a:spcPts val="1100"/>
            </a:lnSpc>
          </a:pPr>
          <a:r>
            <a:rPr kumimoji="1" lang="ja-JP" altLang="en-US" sz="1000"/>
            <a:t>　として入力する。</a:t>
          </a:r>
        </a:p>
      </xdr:txBody>
    </xdr:sp>
    <xdr:clientData/>
  </xdr:twoCellAnchor>
  <xdr:twoCellAnchor>
    <xdr:from>
      <xdr:col>10</xdr:col>
      <xdr:colOff>0</xdr:colOff>
      <xdr:row>2</xdr:row>
      <xdr:rowOff>180975</xdr:rowOff>
    </xdr:from>
    <xdr:to>
      <xdr:col>20</xdr:col>
      <xdr:colOff>142875</xdr:colOff>
      <xdr:row>11</xdr:row>
      <xdr:rowOff>219075</xdr:rowOff>
    </xdr:to>
    <xdr:grpSp>
      <xdr:nvGrpSpPr>
        <xdr:cNvPr id="107728" name="グループ化 32">
          <a:extLst>
            <a:ext uri="{FF2B5EF4-FFF2-40B4-BE49-F238E27FC236}">
              <a16:creationId xmlns="" xmlns:a16="http://schemas.microsoft.com/office/drawing/2014/main" id="{00000000-0008-0000-0B00-0000D0A40100}"/>
            </a:ext>
          </a:extLst>
        </xdr:cNvPr>
        <xdr:cNvGrpSpPr>
          <a:grpSpLocks/>
        </xdr:cNvGrpSpPr>
      </xdr:nvGrpSpPr>
      <xdr:grpSpPr bwMode="auto">
        <a:xfrm>
          <a:off x="2619375" y="609600"/>
          <a:ext cx="2905125" cy="2266950"/>
          <a:chOff x="159196" y="7833807"/>
          <a:chExt cx="3651576" cy="2925781"/>
        </a:xfrm>
      </xdr:grpSpPr>
      <xdr:sp macro="" textlink="">
        <xdr:nvSpPr>
          <xdr:cNvPr id="6" name="正方形/長方形 5">
            <a:extLst>
              <a:ext uri="{FF2B5EF4-FFF2-40B4-BE49-F238E27FC236}">
                <a16:creationId xmlns="" xmlns:a16="http://schemas.microsoft.com/office/drawing/2014/main" id="{00000000-0008-0000-0B00-000006000000}"/>
              </a:ext>
            </a:extLst>
          </xdr:cNvPr>
          <xdr:cNvSpPr/>
        </xdr:nvSpPr>
        <xdr:spPr bwMode="auto">
          <a:xfrm>
            <a:off x="674008" y="8276362"/>
            <a:ext cx="3017040" cy="204067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grpSp>
        <xdr:nvGrpSpPr>
          <xdr:cNvPr id="107730" name="グループ化 31">
            <a:extLst>
              <a:ext uri="{FF2B5EF4-FFF2-40B4-BE49-F238E27FC236}">
                <a16:creationId xmlns="" xmlns:a16="http://schemas.microsoft.com/office/drawing/2014/main" id="{00000000-0008-0000-0B00-0000D2A40100}"/>
              </a:ext>
            </a:extLst>
          </xdr:cNvPr>
          <xdr:cNvGrpSpPr>
            <a:grpSpLocks/>
          </xdr:cNvGrpSpPr>
        </xdr:nvGrpSpPr>
        <xdr:grpSpPr bwMode="auto">
          <a:xfrm>
            <a:off x="159196" y="7833807"/>
            <a:ext cx="3651576" cy="2925781"/>
            <a:chOff x="158330" y="7875352"/>
            <a:chExt cx="3704371" cy="2942000"/>
          </a:xfrm>
        </xdr:grpSpPr>
        <xdr:sp macro="" textlink="">
          <xdr:nvSpPr>
            <xdr:cNvPr id="8" name="正方形/長方形 7">
              <a:extLst>
                <a:ext uri="{FF2B5EF4-FFF2-40B4-BE49-F238E27FC236}">
                  <a16:creationId xmlns="" xmlns:a16="http://schemas.microsoft.com/office/drawing/2014/main" id="{00000000-0008-0000-0B00-000008000000}"/>
                </a:ext>
              </a:extLst>
            </xdr:cNvPr>
            <xdr:cNvSpPr/>
          </xdr:nvSpPr>
          <xdr:spPr bwMode="auto">
            <a:xfrm>
              <a:off x="802040" y="8443974"/>
              <a:ext cx="935202" cy="70459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9" name="正方形/長方形 8">
              <a:extLst>
                <a:ext uri="{FF2B5EF4-FFF2-40B4-BE49-F238E27FC236}">
                  <a16:creationId xmlns="" xmlns:a16="http://schemas.microsoft.com/office/drawing/2014/main" id="{00000000-0008-0000-0B00-000009000000}"/>
                </a:ext>
              </a:extLst>
            </xdr:cNvPr>
            <xdr:cNvSpPr/>
          </xdr:nvSpPr>
          <xdr:spPr bwMode="auto">
            <a:xfrm>
              <a:off x="802040" y="9247461"/>
              <a:ext cx="935202" cy="10259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0" name="正方形/長方形 9">
              <a:extLst>
                <a:ext uri="{FF2B5EF4-FFF2-40B4-BE49-F238E27FC236}">
                  <a16:creationId xmlns="" xmlns:a16="http://schemas.microsoft.com/office/drawing/2014/main" id="{00000000-0008-0000-0B00-00000A000000}"/>
                </a:ext>
              </a:extLst>
            </xdr:cNvPr>
            <xdr:cNvSpPr/>
          </xdr:nvSpPr>
          <xdr:spPr bwMode="auto">
            <a:xfrm>
              <a:off x="1846552" y="8443974"/>
              <a:ext cx="898765" cy="143391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1" name="正方形/長方形 10">
              <a:extLst>
                <a:ext uri="{FF2B5EF4-FFF2-40B4-BE49-F238E27FC236}">
                  <a16:creationId xmlns="" xmlns:a16="http://schemas.microsoft.com/office/drawing/2014/main" id="{00000000-0008-0000-0B00-00000B000000}"/>
                </a:ext>
              </a:extLst>
            </xdr:cNvPr>
            <xdr:cNvSpPr/>
          </xdr:nvSpPr>
          <xdr:spPr bwMode="auto">
            <a:xfrm>
              <a:off x="1846552" y="9976781"/>
              <a:ext cx="898765" cy="29667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2" name="正方形/長方形 11">
              <a:extLst>
                <a:ext uri="{FF2B5EF4-FFF2-40B4-BE49-F238E27FC236}">
                  <a16:creationId xmlns="" xmlns:a16="http://schemas.microsoft.com/office/drawing/2014/main" id="{00000000-0008-0000-0B00-00000C000000}"/>
                </a:ext>
              </a:extLst>
            </xdr:cNvPr>
            <xdr:cNvSpPr/>
          </xdr:nvSpPr>
          <xdr:spPr bwMode="auto">
            <a:xfrm>
              <a:off x="2866772" y="8443974"/>
              <a:ext cx="753020" cy="75404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3" name="正方形/長方形 12">
              <a:extLst>
                <a:ext uri="{FF2B5EF4-FFF2-40B4-BE49-F238E27FC236}">
                  <a16:creationId xmlns="" xmlns:a16="http://schemas.microsoft.com/office/drawing/2014/main" id="{00000000-0008-0000-0B00-00000D000000}"/>
                </a:ext>
              </a:extLst>
            </xdr:cNvPr>
            <xdr:cNvSpPr/>
          </xdr:nvSpPr>
          <xdr:spPr bwMode="auto">
            <a:xfrm>
              <a:off x="2866772" y="9309268"/>
              <a:ext cx="753020" cy="9641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xnSp macro="">
          <xdr:nvCxnSpPr>
            <xdr:cNvPr id="14" name="直線コネクタ 13">
              <a:extLst>
                <a:ext uri="{FF2B5EF4-FFF2-40B4-BE49-F238E27FC236}">
                  <a16:creationId xmlns="" xmlns:a16="http://schemas.microsoft.com/office/drawing/2014/main" id="{00000000-0008-0000-0B00-00000E000000}"/>
                </a:ext>
              </a:extLst>
            </xdr:cNvPr>
            <xdr:cNvCxnSpPr/>
          </xdr:nvCxnSpPr>
          <xdr:spPr bwMode="auto">
            <a:xfrm>
              <a:off x="741313" y="8110218"/>
              <a:ext cx="0" cy="243518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a:extLst>
                <a:ext uri="{FF2B5EF4-FFF2-40B4-BE49-F238E27FC236}">
                  <a16:creationId xmlns="" xmlns:a16="http://schemas.microsoft.com/office/drawing/2014/main" id="{00000000-0008-0000-0B00-00000F000000}"/>
                </a:ext>
              </a:extLst>
            </xdr:cNvPr>
            <xdr:cNvCxnSpPr/>
          </xdr:nvCxnSpPr>
          <xdr:spPr bwMode="auto">
            <a:xfrm>
              <a:off x="3680519" y="8110218"/>
              <a:ext cx="0" cy="243518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 xmlns:a16="http://schemas.microsoft.com/office/drawing/2014/main" id="{00000000-0008-0000-0B00-000010000000}"/>
                </a:ext>
              </a:extLst>
            </xdr:cNvPr>
            <xdr:cNvCxnSpPr/>
          </xdr:nvCxnSpPr>
          <xdr:spPr bwMode="auto">
            <a:xfrm>
              <a:off x="1785824" y="9692470"/>
              <a:ext cx="0" cy="87765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a:extLst>
                <a:ext uri="{FF2B5EF4-FFF2-40B4-BE49-F238E27FC236}">
                  <a16:creationId xmlns="" xmlns:a16="http://schemas.microsoft.com/office/drawing/2014/main" id="{00000000-0008-0000-0B00-000011000000}"/>
                </a:ext>
              </a:extLst>
            </xdr:cNvPr>
            <xdr:cNvCxnSpPr/>
          </xdr:nvCxnSpPr>
          <xdr:spPr bwMode="auto">
            <a:xfrm>
              <a:off x="2806044" y="9692470"/>
              <a:ext cx="0" cy="87765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a:extLst>
                <a:ext uri="{FF2B5EF4-FFF2-40B4-BE49-F238E27FC236}">
                  <a16:creationId xmlns="" xmlns:a16="http://schemas.microsoft.com/office/drawing/2014/main" id="{00000000-0008-0000-0B00-000012000000}"/>
                </a:ext>
              </a:extLst>
            </xdr:cNvPr>
            <xdr:cNvCxnSpPr/>
          </xdr:nvCxnSpPr>
          <xdr:spPr bwMode="auto">
            <a:xfrm>
              <a:off x="437676" y="8382167"/>
              <a:ext cx="3425025" cy="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a:extLst>
                <a:ext uri="{FF2B5EF4-FFF2-40B4-BE49-F238E27FC236}">
                  <a16:creationId xmlns="" xmlns:a16="http://schemas.microsoft.com/office/drawing/2014/main" id="{00000000-0008-0000-0B00-000013000000}"/>
                </a:ext>
              </a:extLst>
            </xdr:cNvPr>
            <xdr:cNvCxnSpPr/>
          </xdr:nvCxnSpPr>
          <xdr:spPr bwMode="auto">
            <a:xfrm>
              <a:off x="1397169" y="9927335"/>
              <a:ext cx="1712512" cy="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a:extLst>
                <a:ext uri="{FF2B5EF4-FFF2-40B4-BE49-F238E27FC236}">
                  <a16:creationId xmlns="" xmlns:a16="http://schemas.microsoft.com/office/drawing/2014/main" id="{00000000-0008-0000-0B00-000014000000}"/>
                </a:ext>
              </a:extLst>
            </xdr:cNvPr>
            <xdr:cNvCxnSpPr/>
          </xdr:nvCxnSpPr>
          <xdr:spPr bwMode="auto">
            <a:xfrm flipH="1">
              <a:off x="2186625" y="9976781"/>
              <a:ext cx="291491" cy="296672"/>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 xmlns:a16="http://schemas.microsoft.com/office/drawing/2014/main" id="{00000000-0008-0000-0B00-000015000000}"/>
                </a:ext>
              </a:extLst>
            </xdr:cNvPr>
            <xdr:cNvCxnSpPr/>
          </xdr:nvCxnSpPr>
          <xdr:spPr bwMode="auto">
            <a:xfrm flipH="1">
              <a:off x="2247352" y="9976781"/>
              <a:ext cx="291491" cy="296672"/>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a:extLst>
                <a:ext uri="{FF2B5EF4-FFF2-40B4-BE49-F238E27FC236}">
                  <a16:creationId xmlns="" xmlns:a16="http://schemas.microsoft.com/office/drawing/2014/main" id="{00000000-0008-0000-0B00-000016000000}"/>
                </a:ext>
              </a:extLst>
            </xdr:cNvPr>
            <xdr:cNvCxnSpPr/>
          </xdr:nvCxnSpPr>
          <xdr:spPr bwMode="auto">
            <a:xfrm>
              <a:off x="1494333" y="9927335"/>
              <a:ext cx="0" cy="395563"/>
            </a:xfrm>
            <a:prstGeom prst="straightConnector1">
              <a:avLst/>
            </a:prstGeom>
            <a:ln w="1270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a:extLst>
                <a:ext uri="{FF2B5EF4-FFF2-40B4-BE49-F238E27FC236}">
                  <a16:creationId xmlns="" xmlns:a16="http://schemas.microsoft.com/office/drawing/2014/main" id="{00000000-0008-0000-0B00-000017000000}"/>
                </a:ext>
              </a:extLst>
            </xdr:cNvPr>
            <xdr:cNvCxnSpPr/>
          </xdr:nvCxnSpPr>
          <xdr:spPr bwMode="auto">
            <a:xfrm>
              <a:off x="474112" y="8382167"/>
              <a:ext cx="0" cy="1940731"/>
            </a:xfrm>
            <a:prstGeom prst="straightConnector1">
              <a:avLst/>
            </a:prstGeom>
            <a:ln w="1270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a:extLst>
                <a:ext uri="{FF2B5EF4-FFF2-40B4-BE49-F238E27FC236}">
                  <a16:creationId xmlns="" xmlns:a16="http://schemas.microsoft.com/office/drawing/2014/main" id="{00000000-0008-0000-0B00-000018000000}"/>
                </a:ext>
              </a:extLst>
            </xdr:cNvPr>
            <xdr:cNvCxnSpPr/>
          </xdr:nvCxnSpPr>
          <xdr:spPr bwMode="auto">
            <a:xfrm flipH="1">
              <a:off x="741313" y="8172024"/>
              <a:ext cx="2951351" cy="0"/>
            </a:xfrm>
            <a:prstGeom prst="straightConnector1">
              <a:avLst/>
            </a:prstGeom>
            <a:ln w="1270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25" name="テキスト ボックス 47">
              <a:extLst>
                <a:ext uri="{FF2B5EF4-FFF2-40B4-BE49-F238E27FC236}">
                  <a16:creationId xmlns="" xmlns:a16="http://schemas.microsoft.com/office/drawing/2014/main" id="{00000000-0008-0000-0B00-000019000000}"/>
                </a:ext>
              </a:extLst>
            </xdr:cNvPr>
            <xdr:cNvSpPr txBox="1"/>
          </xdr:nvSpPr>
          <xdr:spPr bwMode="auto">
            <a:xfrm>
              <a:off x="2125898" y="10495957"/>
              <a:ext cx="619419" cy="32139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Ｌ３</a:t>
              </a:r>
            </a:p>
          </xdr:txBody>
        </xdr:sp>
        <xdr:sp macro="" textlink="">
          <xdr:nvSpPr>
            <xdr:cNvPr id="26" name="テキスト ボックス 48">
              <a:extLst>
                <a:ext uri="{FF2B5EF4-FFF2-40B4-BE49-F238E27FC236}">
                  <a16:creationId xmlns="" xmlns:a16="http://schemas.microsoft.com/office/drawing/2014/main" id="{00000000-0008-0000-0B00-00001A000000}"/>
                </a:ext>
              </a:extLst>
            </xdr:cNvPr>
            <xdr:cNvSpPr txBox="1"/>
          </xdr:nvSpPr>
          <xdr:spPr bwMode="auto">
            <a:xfrm>
              <a:off x="2101607" y="7875352"/>
              <a:ext cx="582983" cy="32139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Ｌ１</a:t>
              </a:r>
            </a:p>
          </xdr:txBody>
        </xdr:sp>
        <xdr:sp macro="" textlink="">
          <xdr:nvSpPr>
            <xdr:cNvPr id="27" name="テキスト ボックス 49">
              <a:extLst>
                <a:ext uri="{FF2B5EF4-FFF2-40B4-BE49-F238E27FC236}">
                  <a16:creationId xmlns="" xmlns:a16="http://schemas.microsoft.com/office/drawing/2014/main" id="{00000000-0008-0000-0B00-00001B000000}"/>
                </a:ext>
              </a:extLst>
            </xdr:cNvPr>
            <xdr:cNvSpPr txBox="1"/>
          </xdr:nvSpPr>
          <xdr:spPr bwMode="auto">
            <a:xfrm rot="16200000">
              <a:off x="966357" y="9795138"/>
              <a:ext cx="655151" cy="42509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Ｌ４</a:t>
              </a:r>
            </a:p>
          </xdr:txBody>
        </xdr:sp>
        <xdr:sp macro="" textlink="">
          <xdr:nvSpPr>
            <xdr:cNvPr id="28" name="テキスト ボックス 50">
              <a:extLst>
                <a:ext uri="{FF2B5EF4-FFF2-40B4-BE49-F238E27FC236}">
                  <a16:creationId xmlns="" xmlns:a16="http://schemas.microsoft.com/office/drawing/2014/main" id="{00000000-0008-0000-0B00-00001C000000}"/>
                </a:ext>
              </a:extLst>
            </xdr:cNvPr>
            <xdr:cNvSpPr txBox="1"/>
          </xdr:nvSpPr>
          <xdr:spPr bwMode="auto">
            <a:xfrm rot="16200000">
              <a:off x="-5713" y="8991219"/>
              <a:ext cx="704597" cy="37651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Ｌ２</a:t>
              </a:r>
            </a:p>
          </xdr:txBody>
        </xdr:sp>
        <xdr:cxnSp macro="">
          <xdr:nvCxnSpPr>
            <xdr:cNvPr id="29" name="直線矢印コネクタ 28">
              <a:extLst>
                <a:ext uri="{FF2B5EF4-FFF2-40B4-BE49-F238E27FC236}">
                  <a16:creationId xmlns="" xmlns:a16="http://schemas.microsoft.com/office/drawing/2014/main" id="{00000000-0008-0000-0B00-00001D000000}"/>
                </a:ext>
              </a:extLst>
            </xdr:cNvPr>
            <xdr:cNvCxnSpPr/>
          </xdr:nvCxnSpPr>
          <xdr:spPr bwMode="auto">
            <a:xfrm flipH="1">
              <a:off x="1785824" y="10495957"/>
              <a:ext cx="1020220" cy="0"/>
            </a:xfrm>
            <a:prstGeom prst="straightConnector1">
              <a:avLst/>
            </a:prstGeom>
            <a:ln w="1270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a:extLst>
                <a:ext uri="{FF2B5EF4-FFF2-40B4-BE49-F238E27FC236}">
                  <a16:creationId xmlns="" xmlns:a16="http://schemas.microsoft.com/office/drawing/2014/main" id="{00000000-0008-0000-0B00-00001E000000}"/>
                </a:ext>
              </a:extLst>
            </xdr:cNvPr>
            <xdr:cNvCxnSpPr/>
          </xdr:nvCxnSpPr>
          <xdr:spPr bwMode="auto">
            <a:xfrm>
              <a:off x="437676" y="10322898"/>
              <a:ext cx="3425025" cy="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66675</xdr:colOff>
      <xdr:row>37</xdr:row>
      <xdr:rowOff>102420</xdr:rowOff>
    </xdr:from>
    <xdr:to>
      <xdr:col>3</xdr:col>
      <xdr:colOff>704850</xdr:colOff>
      <xdr:row>70</xdr:row>
      <xdr:rowOff>81935</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7579545"/>
          <a:ext cx="7029450" cy="5684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180975</xdr:colOff>
      <xdr:row>1</xdr:row>
      <xdr:rowOff>133350</xdr:rowOff>
    </xdr:from>
    <xdr:to>
      <xdr:col>4</xdr:col>
      <xdr:colOff>180975</xdr:colOff>
      <xdr:row>14</xdr:row>
      <xdr:rowOff>66675</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26" t="-1888" r="49956" b="61160"/>
        <a:stretch>
          <a:fillRect/>
        </a:stretch>
      </xdr:blipFill>
      <xdr:spPr bwMode="auto">
        <a:xfrm>
          <a:off x="180975" y="304800"/>
          <a:ext cx="2743200" cy="2162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352425</xdr:colOff>
      <xdr:row>19</xdr:row>
      <xdr:rowOff>123825</xdr:rowOff>
    </xdr:from>
    <xdr:to>
      <xdr:col>7</xdr:col>
      <xdr:colOff>171450</xdr:colOff>
      <xdr:row>40</xdr:row>
      <xdr:rowOff>85725</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2425" y="3381375"/>
          <a:ext cx="4619625" cy="3562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266700</xdr:colOff>
      <xdr:row>1</xdr:row>
      <xdr:rowOff>66675</xdr:rowOff>
    </xdr:from>
    <xdr:to>
      <xdr:col>8</xdr:col>
      <xdr:colOff>161925</xdr:colOff>
      <xdr:row>18</xdr:row>
      <xdr:rowOff>133350</xdr:rowOff>
    </xdr:to>
    <xdr:pic>
      <xdr:nvPicPr>
        <xdr:cNvPr id="4"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26" t="39378" r="49956" b="1888"/>
        <a:stretch>
          <a:fillRect/>
        </a:stretch>
      </xdr:blipFill>
      <xdr:spPr bwMode="auto">
        <a:xfrm>
          <a:off x="3009900" y="238125"/>
          <a:ext cx="2638425" cy="298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85725</xdr:colOff>
      <xdr:row>22</xdr:row>
      <xdr:rowOff>266700</xdr:rowOff>
    </xdr:from>
    <xdr:to>
      <xdr:col>7</xdr:col>
      <xdr:colOff>219075</xdr:colOff>
      <xdr:row>36</xdr:row>
      <xdr:rowOff>9525</xdr:rowOff>
    </xdr:to>
    <xdr:grpSp>
      <xdr:nvGrpSpPr>
        <xdr:cNvPr id="99437" name="グループ化 2">
          <a:extLst>
            <a:ext uri="{FF2B5EF4-FFF2-40B4-BE49-F238E27FC236}">
              <a16:creationId xmlns="" xmlns:a16="http://schemas.microsoft.com/office/drawing/2014/main" id="{00000000-0008-0000-0400-00006D840100}"/>
            </a:ext>
          </a:extLst>
        </xdr:cNvPr>
        <xdr:cNvGrpSpPr>
          <a:grpSpLocks/>
        </xdr:cNvGrpSpPr>
      </xdr:nvGrpSpPr>
      <xdr:grpSpPr bwMode="auto">
        <a:xfrm>
          <a:off x="447675" y="6105525"/>
          <a:ext cx="1609725" cy="3457575"/>
          <a:chOff x="381000" y="5495925"/>
          <a:chExt cx="1609725" cy="2628900"/>
        </a:xfrm>
      </xdr:grpSpPr>
      <xdr:pic>
        <xdr:nvPicPr>
          <xdr:cNvPr id="99439" name="Picture 1">
            <a:extLst>
              <a:ext uri="{FF2B5EF4-FFF2-40B4-BE49-F238E27FC236}">
                <a16:creationId xmlns="" xmlns:a16="http://schemas.microsoft.com/office/drawing/2014/main" id="{00000000-0008-0000-0400-00006F84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a:extLst>
              <a:ext uri="{FF2B5EF4-FFF2-40B4-BE49-F238E27FC236}">
                <a16:creationId xmlns="" xmlns:a16="http://schemas.microsoft.com/office/drawing/2014/main" id="{00000000-0008-0000-0400-000005000000}"/>
              </a:ext>
            </a:extLst>
          </xdr:cNvPr>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28</xdr:col>
      <xdr:colOff>161925</xdr:colOff>
      <xdr:row>38</xdr:row>
      <xdr:rowOff>76200</xdr:rowOff>
    </xdr:from>
    <xdr:to>
      <xdr:col>52</xdr:col>
      <xdr:colOff>542925</xdr:colOff>
      <xdr:row>47</xdr:row>
      <xdr:rowOff>190500</xdr:rowOff>
    </xdr:to>
    <xdr:pic>
      <xdr:nvPicPr>
        <xdr:cNvPr id="99438" name="図 5">
          <a:extLst>
            <a:ext uri="{FF2B5EF4-FFF2-40B4-BE49-F238E27FC236}">
              <a16:creationId xmlns="" xmlns:a16="http://schemas.microsoft.com/office/drawing/2014/main" id="{00000000-0008-0000-0400-00006E84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191500" y="10201275"/>
          <a:ext cx="5400675" cy="24479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190500</xdr:colOff>
          <xdr:row>7</xdr:row>
          <xdr:rowOff>47625</xdr:rowOff>
        </xdr:from>
        <xdr:to>
          <xdr:col>14</xdr:col>
          <xdr:colOff>200025</xdr:colOff>
          <xdr:row>7</xdr:row>
          <xdr:rowOff>257175</xdr:rowOff>
        </xdr:to>
        <xdr:sp macro="" textlink="">
          <xdr:nvSpPr>
            <xdr:cNvPr id="99329" name="Check Box 1" hidden="1">
              <a:extLst>
                <a:ext uri="{63B3BB69-23CF-44E3-9099-C40C66FF867C}">
                  <a14:compatExt spid="_x0000_s99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47625</xdr:rowOff>
        </xdr:from>
        <xdr:to>
          <xdr:col>14</xdr:col>
          <xdr:colOff>200025</xdr:colOff>
          <xdr:row>8</xdr:row>
          <xdr:rowOff>257175</xdr:rowOff>
        </xdr:to>
        <xdr:sp macro="" textlink="">
          <xdr:nvSpPr>
            <xdr:cNvPr id="99330" name="Check Box 2" hidden="1">
              <a:extLst>
                <a:ext uri="{63B3BB69-23CF-44E3-9099-C40C66FF867C}">
                  <a14:compatExt spid="_x0000_s99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47625</xdr:rowOff>
        </xdr:from>
        <xdr:to>
          <xdr:col>14</xdr:col>
          <xdr:colOff>200025</xdr:colOff>
          <xdr:row>14</xdr:row>
          <xdr:rowOff>257175</xdr:rowOff>
        </xdr:to>
        <xdr:sp macro="" textlink="">
          <xdr:nvSpPr>
            <xdr:cNvPr id="99331" name="Check Box 3" hidden="1">
              <a:extLst>
                <a:ext uri="{63B3BB69-23CF-44E3-9099-C40C66FF867C}">
                  <a14:compatExt spid="_x0000_s99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47625</xdr:rowOff>
        </xdr:from>
        <xdr:to>
          <xdr:col>14</xdr:col>
          <xdr:colOff>200025</xdr:colOff>
          <xdr:row>15</xdr:row>
          <xdr:rowOff>257175</xdr:rowOff>
        </xdr:to>
        <xdr:sp macro="" textlink="">
          <xdr:nvSpPr>
            <xdr:cNvPr id="99332" name="Check Box 4" hidden="1">
              <a:extLst>
                <a:ext uri="{63B3BB69-23CF-44E3-9099-C40C66FF867C}">
                  <a14:compatExt spid="_x0000_s99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47625</xdr:rowOff>
        </xdr:from>
        <xdr:to>
          <xdr:col>14</xdr:col>
          <xdr:colOff>200025</xdr:colOff>
          <xdr:row>16</xdr:row>
          <xdr:rowOff>257175</xdr:rowOff>
        </xdr:to>
        <xdr:sp macro="" textlink="">
          <xdr:nvSpPr>
            <xdr:cNvPr id="99333" name="Check Box 5" hidden="1">
              <a:extLst>
                <a:ext uri="{63B3BB69-23CF-44E3-9099-C40C66FF867C}">
                  <a14:compatExt spid="_x0000_s99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47625</xdr:rowOff>
        </xdr:from>
        <xdr:to>
          <xdr:col>14</xdr:col>
          <xdr:colOff>200025</xdr:colOff>
          <xdr:row>17</xdr:row>
          <xdr:rowOff>257175</xdr:rowOff>
        </xdr:to>
        <xdr:sp macro="" textlink="">
          <xdr:nvSpPr>
            <xdr:cNvPr id="99334" name="Check Box 6" hidden="1">
              <a:extLst>
                <a:ext uri="{63B3BB69-23CF-44E3-9099-C40C66FF867C}">
                  <a14:compatExt spid="_x0000_s99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47625</xdr:rowOff>
        </xdr:from>
        <xdr:to>
          <xdr:col>14</xdr:col>
          <xdr:colOff>200025</xdr:colOff>
          <xdr:row>18</xdr:row>
          <xdr:rowOff>257175</xdr:rowOff>
        </xdr:to>
        <xdr:sp macro="" textlink="">
          <xdr:nvSpPr>
            <xdr:cNvPr id="99335" name="Check Box 7" hidden="1">
              <a:extLst>
                <a:ext uri="{63B3BB69-23CF-44E3-9099-C40C66FF867C}">
                  <a14:compatExt spid="_x0000_s99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47625</xdr:rowOff>
        </xdr:from>
        <xdr:to>
          <xdr:col>14</xdr:col>
          <xdr:colOff>200025</xdr:colOff>
          <xdr:row>9</xdr:row>
          <xdr:rowOff>257175</xdr:rowOff>
        </xdr:to>
        <xdr:sp macro="" textlink="">
          <xdr:nvSpPr>
            <xdr:cNvPr id="99336" name="Check Box 8" hidden="1">
              <a:extLst>
                <a:ext uri="{63B3BB69-23CF-44E3-9099-C40C66FF867C}">
                  <a14:compatExt spid="_x0000_s99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47625</xdr:rowOff>
        </xdr:from>
        <xdr:to>
          <xdr:col>14</xdr:col>
          <xdr:colOff>200025</xdr:colOff>
          <xdr:row>10</xdr:row>
          <xdr:rowOff>257175</xdr:rowOff>
        </xdr:to>
        <xdr:sp macro="" textlink="">
          <xdr:nvSpPr>
            <xdr:cNvPr id="99337" name="Check Box 9" hidden="1">
              <a:extLst>
                <a:ext uri="{63B3BB69-23CF-44E3-9099-C40C66FF867C}">
                  <a14:compatExt spid="_x0000_s99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47625</xdr:rowOff>
        </xdr:from>
        <xdr:to>
          <xdr:col>14</xdr:col>
          <xdr:colOff>200025</xdr:colOff>
          <xdr:row>13</xdr:row>
          <xdr:rowOff>257175</xdr:rowOff>
        </xdr:to>
        <xdr:sp macro="" textlink="">
          <xdr:nvSpPr>
            <xdr:cNvPr id="99338" name="Check Box 10" hidden="1">
              <a:extLst>
                <a:ext uri="{63B3BB69-23CF-44E3-9099-C40C66FF867C}">
                  <a14:compatExt spid="_x0000_s99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32</xdr:row>
          <xdr:rowOff>47625</xdr:rowOff>
        </xdr:from>
        <xdr:to>
          <xdr:col>20</xdr:col>
          <xdr:colOff>200025</xdr:colOff>
          <xdr:row>32</xdr:row>
          <xdr:rowOff>257175</xdr:rowOff>
        </xdr:to>
        <xdr:sp macro="" textlink="">
          <xdr:nvSpPr>
            <xdr:cNvPr id="99350" name="Check Box 22" hidden="1">
              <a:extLst>
                <a:ext uri="{63B3BB69-23CF-44E3-9099-C40C66FF867C}">
                  <a14:compatExt spid="_x0000_s99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47625</xdr:rowOff>
        </xdr:from>
        <xdr:to>
          <xdr:col>20</xdr:col>
          <xdr:colOff>200025</xdr:colOff>
          <xdr:row>35</xdr:row>
          <xdr:rowOff>257175</xdr:rowOff>
        </xdr:to>
        <xdr:sp macro="" textlink="">
          <xdr:nvSpPr>
            <xdr:cNvPr id="99351" name="Check Box 23" hidden="1">
              <a:extLst>
                <a:ext uri="{63B3BB69-23CF-44E3-9099-C40C66FF867C}">
                  <a14:compatExt spid="_x0000_s99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47625</xdr:rowOff>
        </xdr:from>
        <xdr:to>
          <xdr:col>20</xdr:col>
          <xdr:colOff>200025</xdr:colOff>
          <xdr:row>36</xdr:row>
          <xdr:rowOff>257175</xdr:rowOff>
        </xdr:to>
        <xdr:sp macro="" textlink="">
          <xdr:nvSpPr>
            <xdr:cNvPr id="99352" name="Check Box 24" hidden="1">
              <a:extLst>
                <a:ext uri="{63B3BB69-23CF-44E3-9099-C40C66FF867C}">
                  <a14:compatExt spid="_x0000_s99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47625</xdr:rowOff>
        </xdr:from>
        <xdr:to>
          <xdr:col>14</xdr:col>
          <xdr:colOff>200025</xdr:colOff>
          <xdr:row>11</xdr:row>
          <xdr:rowOff>257175</xdr:rowOff>
        </xdr:to>
        <xdr:sp macro="" textlink="">
          <xdr:nvSpPr>
            <xdr:cNvPr id="99362" name="Check Box 34" hidden="1">
              <a:extLst>
                <a:ext uri="{63B3BB69-23CF-44E3-9099-C40C66FF867C}">
                  <a14:compatExt spid="_x0000_s99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47625</xdr:rowOff>
        </xdr:from>
        <xdr:to>
          <xdr:col>14</xdr:col>
          <xdr:colOff>200025</xdr:colOff>
          <xdr:row>12</xdr:row>
          <xdr:rowOff>257175</xdr:rowOff>
        </xdr:to>
        <xdr:sp macro="" textlink="">
          <xdr:nvSpPr>
            <xdr:cNvPr id="99363" name="Check Box 35" hidden="1">
              <a:extLst>
                <a:ext uri="{63B3BB69-23CF-44E3-9099-C40C66FF867C}">
                  <a14:compatExt spid="_x0000_s99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33</xdr:row>
          <xdr:rowOff>47625</xdr:rowOff>
        </xdr:from>
        <xdr:to>
          <xdr:col>20</xdr:col>
          <xdr:colOff>200025</xdr:colOff>
          <xdr:row>33</xdr:row>
          <xdr:rowOff>257175</xdr:rowOff>
        </xdr:to>
        <xdr:sp macro="" textlink="">
          <xdr:nvSpPr>
            <xdr:cNvPr id="99365" name="Check Box 37" hidden="1">
              <a:extLst>
                <a:ext uri="{63B3BB69-23CF-44E3-9099-C40C66FF867C}">
                  <a14:compatExt spid="_x0000_s99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47625</xdr:rowOff>
        </xdr:from>
        <xdr:to>
          <xdr:col>20</xdr:col>
          <xdr:colOff>200025</xdr:colOff>
          <xdr:row>34</xdr:row>
          <xdr:rowOff>257175</xdr:rowOff>
        </xdr:to>
        <xdr:sp macro="" textlink="">
          <xdr:nvSpPr>
            <xdr:cNvPr id="99366" name="Check Box 38" hidden="1">
              <a:extLst>
                <a:ext uri="{63B3BB69-23CF-44E3-9099-C40C66FF867C}">
                  <a14:compatExt spid="_x0000_s9936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85725</xdr:colOff>
      <xdr:row>22</xdr:row>
      <xdr:rowOff>257175</xdr:rowOff>
    </xdr:from>
    <xdr:to>
      <xdr:col>7</xdr:col>
      <xdr:colOff>219075</xdr:colOff>
      <xdr:row>36</xdr:row>
      <xdr:rowOff>0</xdr:rowOff>
    </xdr:to>
    <xdr:grpSp>
      <xdr:nvGrpSpPr>
        <xdr:cNvPr id="103532" name="グループ化 2">
          <a:extLst>
            <a:ext uri="{FF2B5EF4-FFF2-40B4-BE49-F238E27FC236}">
              <a16:creationId xmlns="" xmlns:a16="http://schemas.microsoft.com/office/drawing/2014/main" id="{00000000-0008-0000-0800-00006C940100}"/>
            </a:ext>
          </a:extLst>
        </xdr:cNvPr>
        <xdr:cNvGrpSpPr>
          <a:grpSpLocks/>
        </xdr:cNvGrpSpPr>
      </xdr:nvGrpSpPr>
      <xdr:grpSpPr bwMode="auto">
        <a:xfrm>
          <a:off x="447675" y="6096000"/>
          <a:ext cx="1609725" cy="3457575"/>
          <a:chOff x="381000" y="5495925"/>
          <a:chExt cx="1609725" cy="2628900"/>
        </a:xfrm>
      </xdr:grpSpPr>
      <xdr:pic>
        <xdr:nvPicPr>
          <xdr:cNvPr id="103534" name="Picture 1">
            <a:extLst>
              <a:ext uri="{FF2B5EF4-FFF2-40B4-BE49-F238E27FC236}">
                <a16:creationId xmlns="" xmlns:a16="http://schemas.microsoft.com/office/drawing/2014/main" id="{00000000-0008-0000-0800-00006E94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a:extLst>
              <a:ext uri="{FF2B5EF4-FFF2-40B4-BE49-F238E27FC236}">
                <a16:creationId xmlns="" xmlns:a16="http://schemas.microsoft.com/office/drawing/2014/main" id="{00000000-0008-0000-0800-000005000000}"/>
              </a:ext>
            </a:extLst>
          </xdr:cNvPr>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32</xdr:col>
      <xdr:colOff>428625</xdr:colOff>
      <xdr:row>28</xdr:row>
      <xdr:rowOff>47625</xdr:rowOff>
    </xdr:from>
    <xdr:to>
      <xdr:col>53</xdr:col>
      <xdr:colOff>118383</xdr:colOff>
      <xdr:row>37</xdr:row>
      <xdr:rowOff>161925</xdr:rowOff>
    </xdr:to>
    <xdr:pic>
      <xdr:nvPicPr>
        <xdr:cNvPr id="103533" name="図 5">
          <a:extLst>
            <a:ext uri="{FF2B5EF4-FFF2-40B4-BE49-F238E27FC236}">
              <a16:creationId xmlns="" xmlns:a16="http://schemas.microsoft.com/office/drawing/2014/main" id="{00000000-0008-0000-0800-00006D94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201400" y="7667625"/>
          <a:ext cx="5400675" cy="24479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190500</xdr:colOff>
          <xdr:row>7</xdr:row>
          <xdr:rowOff>47625</xdr:rowOff>
        </xdr:from>
        <xdr:to>
          <xdr:col>14</xdr:col>
          <xdr:colOff>200025</xdr:colOff>
          <xdr:row>7</xdr:row>
          <xdr:rowOff>257175</xdr:rowOff>
        </xdr:to>
        <xdr:sp macro="" textlink="">
          <xdr:nvSpPr>
            <xdr:cNvPr id="103425" name="Check Box 1" hidden="1">
              <a:extLst>
                <a:ext uri="{63B3BB69-23CF-44E3-9099-C40C66FF867C}">
                  <a14:compatExt spid="_x0000_s103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47625</xdr:rowOff>
        </xdr:from>
        <xdr:to>
          <xdr:col>14</xdr:col>
          <xdr:colOff>200025</xdr:colOff>
          <xdr:row>8</xdr:row>
          <xdr:rowOff>257175</xdr:rowOff>
        </xdr:to>
        <xdr:sp macro="" textlink="">
          <xdr:nvSpPr>
            <xdr:cNvPr id="103426" name="Check Box 2" hidden="1">
              <a:extLst>
                <a:ext uri="{63B3BB69-23CF-44E3-9099-C40C66FF867C}">
                  <a14:compatExt spid="_x0000_s103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47625</xdr:rowOff>
        </xdr:from>
        <xdr:to>
          <xdr:col>14</xdr:col>
          <xdr:colOff>200025</xdr:colOff>
          <xdr:row>14</xdr:row>
          <xdr:rowOff>257175</xdr:rowOff>
        </xdr:to>
        <xdr:sp macro="" textlink="">
          <xdr:nvSpPr>
            <xdr:cNvPr id="103427" name="Check Box 3" hidden="1">
              <a:extLst>
                <a:ext uri="{63B3BB69-23CF-44E3-9099-C40C66FF867C}">
                  <a14:compatExt spid="_x0000_s103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47625</xdr:rowOff>
        </xdr:from>
        <xdr:to>
          <xdr:col>14</xdr:col>
          <xdr:colOff>200025</xdr:colOff>
          <xdr:row>15</xdr:row>
          <xdr:rowOff>257175</xdr:rowOff>
        </xdr:to>
        <xdr:sp macro="" textlink="">
          <xdr:nvSpPr>
            <xdr:cNvPr id="103428" name="Check Box 4" hidden="1">
              <a:extLst>
                <a:ext uri="{63B3BB69-23CF-44E3-9099-C40C66FF867C}">
                  <a14:compatExt spid="_x0000_s103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47625</xdr:rowOff>
        </xdr:from>
        <xdr:to>
          <xdr:col>14</xdr:col>
          <xdr:colOff>200025</xdr:colOff>
          <xdr:row>16</xdr:row>
          <xdr:rowOff>257175</xdr:rowOff>
        </xdr:to>
        <xdr:sp macro="" textlink="">
          <xdr:nvSpPr>
            <xdr:cNvPr id="103429" name="Check Box 5" hidden="1">
              <a:extLst>
                <a:ext uri="{63B3BB69-23CF-44E3-9099-C40C66FF867C}">
                  <a14:compatExt spid="_x0000_s103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47625</xdr:rowOff>
        </xdr:from>
        <xdr:to>
          <xdr:col>14</xdr:col>
          <xdr:colOff>200025</xdr:colOff>
          <xdr:row>17</xdr:row>
          <xdr:rowOff>257175</xdr:rowOff>
        </xdr:to>
        <xdr:sp macro="" textlink="">
          <xdr:nvSpPr>
            <xdr:cNvPr id="103430" name="Check Box 6" hidden="1">
              <a:extLst>
                <a:ext uri="{63B3BB69-23CF-44E3-9099-C40C66FF867C}">
                  <a14:compatExt spid="_x0000_s103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47625</xdr:rowOff>
        </xdr:from>
        <xdr:to>
          <xdr:col>14</xdr:col>
          <xdr:colOff>200025</xdr:colOff>
          <xdr:row>18</xdr:row>
          <xdr:rowOff>257175</xdr:rowOff>
        </xdr:to>
        <xdr:sp macro="" textlink="">
          <xdr:nvSpPr>
            <xdr:cNvPr id="103431" name="Check Box 7" hidden="1">
              <a:extLst>
                <a:ext uri="{63B3BB69-23CF-44E3-9099-C40C66FF867C}">
                  <a14:compatExt spid="_x0000_s103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47625</xdr:rowOff>
        </xdr:from>
        <xdr:to>
          <xdr:col>14</xdr:col>
          <xdr:colOff>200025</xdr:colOff>
          <xdr:row>9</xdr:row>
          <xdr:rowOff>257175</xdr:rowOff>
        </xdr:to>
        <xdr:sp macro="" textlink="">
          <xdr:nvSpPr>
            <xdr:cNvPr id="103432" name="Check Box 8" hidden="1">
              <a:extLst>
                <a:ext uri="{63B3BB69-23CF-44E3-9099-C40C66FF867C}">
                  <a14:compatExt spid="_x0000_s103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47625</xdr:rowOff>
        </xdr:from>
        <xdr:to>
          <xdr:col>14</xdr:col>
          <xdr:colOff>200025</xdr:colOff>
          <xdr:row>10</xdr:row>
          <xdr:rowOff>257175</xdr:rowOff>
        </xdr:to>
        <xdr:sp macro="" textlink="">
          <xdr:nvSpPr>
            <xdr:cNvPr id="103433" name="Check Box 9" hidden="1">
              <a:extLst>
                <a:ext uri="{63B3BB69-23CF-44E3-9099-C40C66FF867C}">
                  <a14:compatExt spid="_x0000_s103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47625</xdr:rowOff>
        </xdr:from>
        <xdr:to>
          <xdr:col>14</xdr:col>
          <xdr:colOff>200025</xdr:colOff>
          <xdr:row>13</xdr:row>
          <xdr:rowOff>257175</xdr:rowOff>
        </xdr:to>
        <xdr:sp macro="" textlink="">
          <xdr:nvSpPr>
            <xdr:cNvPr id="103434" name="Check Box 10" hidden="1">
              <a:extLst>
                <a:ext uri="{63B3BB69-23CF-44E3-9099-C40C66FF867C}">
                  <a14:compatExt spid="_x0000_s103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32</xdr:row>
          <xdr:rowOff>47625</xdr:rowOff>
        </xdr:from>
        <xdr:to>
          <xdr:col>20</xdr:col>
          <xdr:colOff>200025</xdr:colOff>
          <xdr:row>32</xdr:row>
          <xdr:rowOff>257175</xdr:rowOff>
        </xdr:to>
        <xdr:sp macro="" textlink="">
          <xdr:nvSpPr>
            <xdr:cNvPr id="103446" name="Check Box 22" hidden="1">
              <a:extLst>
                <a:ext uri="{63B3BB69-23CF-44E3-9099-C40C66FF867C}">
                  <a14:compatExt spid="_x0000_s103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47625</xdr:rowOff>
        </xdr:from>
        <xdr:to>
          <xdr:col>20</xdr:col>
          <xdr:colOff>200025</xdr:colOff>
          <xdr:row>35</xdr:row>
          <xdr:rowOff>257175</xdr:rowOff>
        </xdr:to>
        <xdr:sp macro="" textlink="">
          <xdr:nvSpPr>
            <xdr:cNvPr id="103447" name="Check Box 23" hidden="1">
              <a:extLst>
                <a:ext uri="{63B3BB69-23CF-44E3-9099-C40C66FF867C}">
                  <a14:compatExt spid="_x0000_s103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47625</xdr:rowOff>
        </xdr:from>
        <xdr:to>
          <xdr:col>20</xdr:col>
          <xdr:colOff>200025</xdr:colOff>
          <xdr:row>36</xdr:row>
          <xdr:rowOff>257175</xdr:rowOff>
        </xdr:to>
        <xdr:sp macro="" textlink="">
          <xdr:nvSpPr>
            <xdr:cNvPr id="103448" name="Check Box 24" hidden="1">
              <a:extLst>
                <a:ext uri="{63B3BB69-23CF-44E3-9099-C40C66FF867C}">
                  <a14:compatExt spid="_x0000_s103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47625</xdr:rowOff>
        </xdr:from>
        <xdr:to>
          <xdr:col>14</xdr:col>
          <xdr:colOff>200025</xdr:colOff>
          <xdr:row>11</xdr:row>
          <xdr:rowOff>257175</xdr:rowOff>
        </xdr:to>
        <xdr:sp macro="" textlink="">
          <xdr:nvSpPr>
            <xdr:cNvPr id="103457" name="Check Box 33" hidden="1">
              <a:extLst>
                <a:ext uri="{63B3BB69-23CF-44E3-9099-C40C66FF867C}">
                  <a14:compatExt spid="_x0000_s103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47625</xdr:rowOff>
        </xdr:from>
        <xdr:to>
          <xdr:col>14</xdr:col>
          <xdr:colOff>200025</xdr:colOff>
          <xdr:row>12</xdr:row>
          <xdr:rowOff>257175</xdr:rowOff>
        </xdr:to>
        <xdr:sp macro="" textlink="">
          <xdr:nvSpPr>
            <xdr:cNvPr id="103458" name="Check Box 34" hidden="1">
              <a:extLst>
                <a:ext uri="{63B3BB69-23CF-44E3-9099-C40C66FF867C}">
                  <a14:compatExt spid="_x0000_s103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33</xdr:row>
          <xdr:rowOff>47625</xdr:rowOff>
        </xdr:from>
        <xdr:to>
          <xdr:col>20</xdr:col>
          <xdr:colOff>200025</xdr:colOff>
          <xdr:row>33</xdr:row>
          <xdr:rowOff>257175</xdr:rowOff>
        </xdr:to>
        <xdr:sp macro="" textlink="">
          <xdr:nvSpPr>
            <xdr:cNvPr id="103459" name="Check Box 35" hidden="1">
              <a:extLst>
                <a:ext uri="{63B3BB69-23CF-44E3-9099-C40C66FF867C}">
                  <a14:compatExt spid="_x0000_s103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47625</xdr:rowOff>
        </xdr:from>
        <xdr:to>
          <xdr:col>20</xdr:col>
          <xdr:colOff>200025</xdr:colOff>
          <xdr:row>34</xdr:row>
          <xdr:rowOff>257175</xdr:rowOff>
        </xdr:to>
        <xdr:sp macro="" textlink="">
          <xdr:nvSpPr>
            <xdr:cNvPr id="103460" name="Check Box 36" hidden="1">
              <a:extLst>
                <a:ext uri="{63B3BB69-23CF-44E3-9099-C40C66FF867C}">
                  <a14:compatExt spid="_x0000_s103460"/>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95250</xdr:colOff>
      <xdr:row>22</xdr:row>
      <xdr:rowOff>257175</xdr:rowOff>
    </xdr:from>
    <xdr:to>
      <xdr:col>7</xdr:col>
      <xdr:colOff>228600</xdr:colOff>
      <xdr:row>36</xdr:row>
      <xdr:rowOff>0</xdr:rowOff>
    </xdr:to>
    <xdr:grpSp>
      <xdr:nvGrpSpPr>
        <xdr:cNvPr id="101484" name="グループ化 2">
          <a:extLst>
            <a:ext uri="{FF2B5EF4-FFF2-40B4-BE49-F238E27FC236}">
              <a16:creationId xmlns="" xmlns:a16="http://schemas.microsoft.com/office/drawing/2014/main" id="{00000000-0008-0000-0600-00006C8C0100}"/>
            </a:ext>
          </a:extLst>
        </xdr:cNvPr>
        <xdr:cNvGrpSpPr>
          <a:grpSpLocks/>
        </xdr:cNvGrpSpPr>
      </xdr:nvGrpSpPr>
      <xdr:grpSpPr bwMode="auto">
        <a:xfrm>
          <a:off x="457200" y="6096000"/>
          <a:ext cx="1609725" cy="3457575"/>
          <a:chOff x="381000" y="5495925"/>
          <a:chExt cx="1609725" cy="2628900"/>
        </a:xfrm>
      </xdr:grpSpPr>
      <xdr:pic>
        <xdr:nvPicPr>
          <xdr:cNvPr id="101486" name="Picture 1">
            <a:extLst>
              <a:ext uri="{FF2B5EF4-FFF2-40B4-BE49-F238E27FC236}">
                <a16:creationId xmlns="" xmlns:a16="http://schemas.microsoft.com/office/drawing/2014/main" id="{00000000-0008-0000-0600-00006E8C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a:extLst>
              <a:ext uri="{FF2B5EF4-FFF2-40B4-BE49-F238E27FC236}">
                <a16:creationId xmlns="" xmlns:a16="http://schemas.microsoft.com/office/drawing/2014/main" id="{00000000-0008-0000-0600-000005000000}"/>
              </a:ext>
            </a:extLst>
          </xdr:cNvPr>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27</xdr:col>
      <xdr:colOff>285750</xdr:colOff>
      <xdr:row>37</xdr:row>
      <xdr:rowOff>247650</xdr:rowOff>
    </xdr:from>
    <xdr:to>
      <xdr:col>52</xdr:col>
      <xdr:colOff>389965</xdr:colOff>
      <xdr:row>47</xdr:row>
      <xdr:rowOff>85725</xdr:rowOff>
    </xdr:to>
    <xdr:pic>
      <xdr:nvPicPr>
        <xdr:cNvPr id="101485" name="図 5">
          <a:extLst>
            <a:ext uri="{FF2B5EF4-FFF2-40B4-BE49-F238E27FC236}">
              <a16:creationId xmlns="" xmlns:a16="http://schemas.microsoft.com/office/drawing/2014/main" id="{00000000-0008-0000-0600-00006D8C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648700" y="10201275"/>
          <a:ext cx="5400675" cy="24479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190500</xdr:colOff>
          <xdr:row>7</xdr:row>
          <xdr:rowOff>47625</xdr:rowOff>
        </xdr:from>
        <xdr:to>
          <xdr:col>14</xdr:col>
          <xdr:colOff>200025</xdr:colOff>
          <xdr:row>7</xdr:row>
          <xdr:rowOff>257175</xdr:rowOff>
        </xdr:to>
        <xdr:sp macro="" textlink="">
          <xdr:nvSpPr>
            <xdr:cNvPr id="101377" name="Check Box 1" hidden="1">
              <a:extLst>
                <a:ext uri="{63B3BB69-23CF-44E3-9099-C40C66FF867C}">
                  <a14:compatExt spid="_x0000_s101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47625</xdr:rowOff>
        </xdr:from>
        <xdr:to>
          <xdr:col>14</xdr:col>
          <xdr:colOff>200025</xdr:colOff>
          <xdr:row>8</xdr:row>
          <xdr:rowOff>257175</xdr:rowOff>
        </xdr:to>
        <xdr:sp macro="" textlink="">
          <xdr:nvSpPr>
            <xdr:cNvPr id="101378" name="Check Box 2" hidden="1">
              <a:extLst>
                <a:ext uri="{63B3BB69-23CF-44E3-9099-C40C66FF867C}">
                  <a14:compatExt spid="_x0000_s101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47625</xdr:rowOff>
        </xdr:from>
        <xdr:to>
          <xdr:col>14</xdr:col>
          <xdr:colOff>200025</xdr:colOff>
          <xdr:row>14</xdr:row>
          <xdr:rowOff>257175</xdr:rowOff>
        </xdr:to>
        <xdr:sp macro="" textlink="">
          <xdr:nvSpPr>
            <xdr:cNvPr id="101379" name="Check Box 3" hidden="1">
              <a:extLst>
                <a:ext uri="{63B3BB69-23CF-44E3-9099-C40C66FF867C}">
                  <a14:compatExt spid="_x0000_s101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47625</xdr:rowOff>
        </xdr:from>
        <xdr:to>
          <xdr:col>14</xdr:col>
          <xdr:colOff>200025</xdr:colOff>
          <xdr:row>15</xdr:row>
          <xdr:rowOff>257175</xdr:rowOff>
        </xdr:to>
        <xdr:sp macro="" textlink="">
          <xdr:nvSpPr>
            <xdr:cNvPr id="101380" name="Check Box 4" hidden="1">
              <a:extLst>
                <a:ext uri="{63B3BB69-23CF-44E3-9099-C40C66FF867C}">
                  <a14:compatExt spid="_x0000_s101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47625</xdr:rowOff>
        </xdr:from>
        <xdr:to>
          <xdr:col>14</xdr:col>
          <xdr:colOff>200025</xdr:colOff>
          <xdr:row>16</xdr:row>
          <xdr:rowOff>257175</xdr:rowOff>
        </xdr:to>
        <xdr:sp macro="" textlink="">
          <xdr:nvSpPr>
            <xdr:cNvPr id="101381" name="Check Box 5" hidden="1">
              <a:extLst>
                <a:ext uri="{63B3BB69-23CF-44E3-9099-C40C66FF867C}">
                  <a14:compatExt spid="_x0000_s101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47625</xdr:rowOff>
        </xdr:from>
        <xdr:to>
          <xdr:col>14</xdr:col>
          <xdr:colOff>200025</xdr:colOff>
          <xdr:row>17</xdr:row>
          <xdr:rowOff>257175</xdr:rowOff>
        </xdr:to>
        <xdr:sp macro="" textlink="">
          <xdr:nvSpPr>
            <xdr:cNvPr id="101382" name="Check Box 6" hidden="1">
              <a:extLst>
                <a:ext uri="{63B3BB69-23CF-44E3-9099-C40C66FF867C}">
                  <a14:compatExt spid="_x0000_s101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47625</xdr:rowOff>
        </xdr:from>
        <xdr:to>
          <xdr:col>14</xdr:col>
          <xdr:colOff>200025</xdr:colOff>
          <xdr:row>18</xdr:row>
          <xdr:rowOff>257175</xdr:rowOff>
        </xdr:to>
        <xdr:sp macro="" textlink="">
          <xdr:nvSpPr>
            <xdr:cNvPr id="101383" name="Check Box 7" hidden="1">
              <a:extLst>
                <a:ext uri="{63B3BB69-23CF-44E3-9099-C40C66FF867C}">
                  <a14:compatExt spid="_x0000_s101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47625</xdr:rowOff>
        </xdr:from>
        <xdr:to>
          <xdr:col>14</xdr:col>
          <xdr:colOff>200025</xdr:colOff>
          <xdr:row>9</xdr:row>
          <xdr:rowOff>257175</xdr:rowOff>
        </xdr:to>
        <xdr:sp macro="" textlink="">
          <xdr:nvSpPr>
            <xdr:cNvPr id="101384" name="Check Box 8" hidden="1">
              <a:extLst>
                <a:ext uri="{63B3BB69-23CF-44E3-9099-C40C66FF867C}">
                  <a14:compatExt spid="_x0000_s101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47625</xdr:rowOff>
        </xdr:from>
        <xdr:to>
          <xdr:col>14</xdr:col>
          <xdr:colOff>200025</xdr:colOff>
          <xdr:row>10</xdr:row>
          <xdr:rowOff>257175</xdr:rowOff>
        </xdr:to>
        <xdr:sp macro="" textlink="">
          <xdr:nvSpPr>
            <xdr:cNvPr id="101385" name="Check Box 9" hidden="1">
              <a:extLst>
                <a:ext uri="{63B3BB69-23CF-44E3-9099-C40C66FF867C}">
                  <a14:compatExt spid="_x0000_s101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47625</xdr:rowOff>
        </xdr:from>
        <xdr:to>
          <xdr:col>14</xdr:col>
          <xdr:colOff>200025</xdr:colOff>
          <xdr:row>13</xdr:row>
          <xdr:rowOff>257175</xdr:rowOff>
        </xdr:to>
        <xdr:sp macro="" textlink="">
          <xdr:nvSpPr>
            <xdr:cNvPr id="101386" name="Check Box 10" hidden="1">
              <a:extLst>
                <a:ext uri="{63B3BB69-23CF-44E3-9099-C40C66FF867C}">
                  <a14:compatExt spid="_x0000_s101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32</xdr:row>
          <xdr:rowOff>47625</xdr:rowOff>
        </xdr:from>
        <xdr:to>
          <xdr:col>20</xdr:col>
          <xdr:colOff>200025</xdr:colOff>
          <xdr:row>32</xdr:row>
          <xdr:rowOff>257175</xdr:rowOff>
        </xdr:to>
        <xdr:sp macro="" textlink="">
          <xdr:nvSpPr>
            <xdr:cNvPr id="101398" name="Check Box 22" hidden="1">
              <a:extLst>
                <a:ext uri="{63B3BB69-23CF-44E3-9099-C40C66FF867C}">
                  <a14:compatExt spid="_x0000_s101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47625</xdr:rowOff>
        </xdr:from>
        <xdr:to>
          <xdr:col>20</xdr:col>
          <xdr:colOff>200025</xdr:colOff>
          <xdr:row>35</xdr:row>
          <xdr:rowOff>257175</xdr:rowOff>
        </xdr:to>
        <xdr:sp macro="" textlink="">
          <xdr:nvSpPr>
            <xdr:cNvPr id="101399" name="Check Box 23" hidden="1">
              <a:extLst>
                <a:ext uri="{63B3BB69-23CF-44E3-9099-C40C66FF867C}">
                  <a14:compatExt spid="_x0000_s101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47625</xdr:rowOff>
        </xdr:from>
        <xdr:to>
          <xdr:col>20</xdr:col>
          <xdr:colOff>200025</xdr:colOff>
          <xdr:row>36</xdr:row>
          <xdr:rowOff>257175</xdr:rowOff>
        </xdr:to>
        <xdr:sp macro="" textlink="">
          <xdr:nvSpPr>
            <xdr:cNvPr id="101400" name="Check Box 24" hidden="1">
              <a:extLst>
                <a:ext uri="{63B3BB69-23CF-44E3-9099-C40C66FF867C}">
                  <a14:compatExt spid="_x0000_s101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47625</xdr:rowOff>
        </xdr:from>
        <xdr:to>
          <xdr:col>14</xdr:col>
          <xdr:colOff>200025</xdr:colOff>
          <xdr:row>11</xdr:row>
          <xdr:rowOff>257175</xdr:rowOff>
        </xdr:to>
        <xdr:sp macro="" textlink="">
          <xdr:nvSpPr>
            <xdr:cNvPr id="101409" name="Check Box 33" hidden="1">
              <a:extLst>
                <a:ext uri="{63B3BB69-23CF-44E3-9099-C40C66FF867C}">
                  <a14:compatExt spid="_x0000_s101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47625</xdr:rowOff>
        </xdr:from>
        <xdr:to>
          <xdr:col>14</xdr:col>
          <xdr:colOff>200025</xdr:colOff>
          <xdr:row>12</xdr:row>
          <xdr:rowOff>257175</xdr:rowOff>
        </xdr:to>
        <xdr:sp macro="" textlink="">
          <xdr:nvSpPr>
            <xdr:cNvPr id="101410" name="Check Box 34" hidden="1">
              <a:extLst>
                <a:ext uri="{63B3BB69-23CF-44E3-9099-C40C66FF867C}">
                  <a14:compatExt spid="_x0000_s101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33</xdr:row>
          <xdr:rowOff>47625</xdr:rowOff>
        </xdr:from>
        <xdr:to>
          <xdr:col>20</xdr:col>
          <xdr:colOff>200025</xdr:colOff>
          <xdr:row>33</xdr:row>
          <xdr:rowOff>257175</xdr:rowOff>
        </xdr:to>
        <xdr:sp macro="" textlink="">
          <xdr:nvSpPr>
            <xdr:cNvPr id="101411" name="Check Box 35" hidden="1">
              <a:extLst>
                <a:ext uri="{63B3BB69-23CF-44E3-9099-C40C66FF867C}">
                  <a14:compatExt spid="_x0000_s101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47625</xdr:rowOff>
        </xdr:from>
        <xdr:to>
          <xdr:col>20</xdr:col>
          <xdr:colOff>200025</xdr:colOff>
          <xdr:row>34</xdr:row>
          <xdr:rowOff>257175</xdr:rowOff>
        </xdr:to>
        <xdr:sp macro="" textlink="">
          <xdr:nvSpPr>
            <xdr:cNvPr id="101412" name="Check Box 36" hidden="1">
              <a:extLst>
                <a:ext uri="{63B3BB69-23CF-44E3-9099-C40C66FF867C}">
                  <a14:compatExt spid="_x0000_s101412"/>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xdr:col>
      <xdr:colOff>85725</xdr:colOff>
      <xdr:row>22</xdr:row>
      <xdr:rowOff>257175</xdr:rowOff>
    </xdr:from>
    <xdr:to>
      <xdr:col>7</xdr:col>
      <xdr:colOff>219075</xdr:colOff>
      <xdr:row>36</xdr:row>
      <xdr:rowOff>0</xdr:rowOff>
    </xdr:to>
    <xdr:grpSp>
      <xdr:nvGrpSpPr>
        <xdr:cNvPr id="85131" name="グループ化 4">
          <a:extLst>
            <a:ext uri="{FF2B5EF4-FFF2-40B4-BE49-F238E27FC236}">
              <a16:creationId xmlns="" xmlns:a16="http://schemas.microsoft.com/office/drawing/2014/main" id="{00000000-0008-0000-0200-00008B4C0100}"/>
            </a:ext>
          </a:extLst>
        </xdr:cNvPr>
        <xdr:cNvGrpSpPr>
          <a:grpSpLocks/>
        </xdr:cNvGrpSpPr>
      </xdr:nvGrpSpPr>
      <xdr:grpSpPr bwMode="auto">
        <a:xfrm>
          <a:off x="447675" y="6096000"/>
          <a:ext cx="1609725" cy="3457575"/>
          <a:chOff x="381000" y="5495925"/>
          <a:chExt cx="1609725" cy="2628900"/>
        </a:xfrm>
      </xdr:grpSpPr>
      <xdr:pic>
        <xdr:nvPicPr>
          <xdr:cNvPr id="85133" name="Picture 1">
            <a:extLst>
              <a:ext uri="{FF2B5EF4-FFF2-40B4-BE49-F238E27FC236}">
                <a16:creationId xmlns="" xmlns:a16="http://schemas.microsoft.com/office/drawing/2014/main" id="{00000000-0008-0000-0200-00008D4C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4" name="テキスト ボックス 3">
            <a:extLst>
              <a:ext uri="{FF2B5EF4-FFF2-40B4-BE49-F238E27FC236}">
                <a16:creationId xmlns="" xmlns:a16="http://schemas.microsoft.com/office/drawing/2014/main" id="{00000000-0008-0000-0200-000004000000}"/>
              </a:ext>
            </a:extLst>
          </xdr:cNvPr>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33</xdr:col>
      <xdr:colOff>11206</xdr:colOff>
      <xdr:row>28</xdr:row>
      <xdr:rowOff>44824</xdr:rowOff>
    </xdr:from>
    <xdr:to>
      <xdr:col>53</xdr:col>
      <xdr:colOff>31939</xdr:colOff>
      <xdr:row>37</xdr:row>
      <xdr:rowOff>159124</xdr:rowOff>
    </xdr:to>
    <xdr:pic>
      <xdr:nvPicPr>
        <xdr:cNvPr id="85132" name="図 5">
          <a:extLst>
            <a:ext uri="{FF2B5EF4-FFF2-40B4-BE49-F238E27FC236}">
              <a16:creationId xmlns="" xmlns:a16="http://schemas.microsoft.com/office/drawing/2014/main" id="{00000000-0008-0000-0200-00008C4C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858500" y="7631206"/>
          <a:ext cx="5390030" cy="2478742"/>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190500</xdr:colOff>
          <xdr:row>7</xdr:row>
          <xdr:rowOff>47625</xdr:rowOff>
        </xdr:from>
        <xdr:to>
          <xdr:col>14</xdr:col>
          <xdr:colOff>200025</xdr:colOff>
          <xdr:row>7</xdr:row>
          <xdr:rowOff>257175</xdr:rowOff>
        </xdr:to>
        <xdr:sp macro="" textlink="">
          <xdr:nvSpPr>
            <xdr:cNvPr id="84993" name="Check Box 1" hidden="1">
              <a:extLst>
                <a:ext uri="{63B3BB69-23CF-44E3-9099-C40C66FF867C}">
                  <a14:compatExt spid="_x0000_s849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47625</xdr:rowOff>
        </xdr:from>
        <xdr:to>
          <xdr:col>14</xdr:col>
          <xdr:colOff>200025</xdr:colOff>
          <xdr:row>8</xdr:row>
          <xdr:rowOff>257175</xdr:rowOff>
        </xdr:to>
        <xdr:sp macro="" textlink="">
          <xdr:nvSpPr>
            <xdr:cNvPr id="84994" name="Check Box 2" hidden="1">
              <a:extLst>
                <a:ext uri="{63B3BB69-23CF-44E3-9099-C40C66FF867C}">
                  <a14:compatExt spid="_x0000_s849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47625</xdr:rowOff>
        </xdr:from>
        <xdr:to>
          <xdr:col>14</xdr:col>
          <xdr:colOff>200025</xdr:colOff>
          <xdr:row>14</xdr:row>
          <xdr:rowOff>257175</xdr:rowOff>
        </xdr:to>
        <xdr:sp macro="" textlink="">
          <xdr:nvSpPr>
            <xdr:cNvPr id="84995" name="Check Box 3" hidden="1">
              <a:extLst>
                <a:ext uri="{63B3BB69-23CF-44E3-9099-C40C66FF867C}">
                  <a14:compatExt spid="_x0000_s849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47625</xdr:rowOff>
        </xdr:from>
        <xdr:to>
          <xdr:col>14</xdr:col>
          <xdr:colOff>200025</xdr:colOff>
          <xdr:row>15</xdr:row>
          <xdr:rowOff>257175</xdr:rowOff>
        </xdr:to>
        <xdr:sp macro="" textlink="">
          <xdr:nvSpPr>
            <xdr:cNvPr id="84996" name="Check Box 4" hidden="1">
              <a:extLst>
                <a:ext uri="{63B3BB69-23CF-44E3-9099-C40C66FF867C}">
                  <a14:compatExt spid="_x0000_s849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47625</xdr:rowOff>
        </xdr:from>
        <xdr:to>
          <xdr:col>14</xdr:col>
          <xdr:colOff>200025</xdr:colOff>
          <xdr:row>16</xdr:row>
          <xdr:rowOff>257175</xdr:rowOff>
        </xdr:to>
        <xdr:sp macro="" textlink="">
          <xdr:nvSpPr>
            <xdr:cNvPr id="84997" name="Check Box 5" hidden="1">
              <a:extLst>
                <a:ext uri="{63B3BB69-23CF-44E3-9099-C40C66FF867C}">
                  <a14:compatExt spid="_x0000_s849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47625</xdr:rowOff>
        </xdr:from>
        <xdr:to>
          <xdr:col>14</xdr:col>
          <xdr:colOff>200025</xdr:colOff>
          <xdr:row>17</xdr:row>
          <xdr:rowOff>257175</xdr:rowOff>
        </xdr:to>
        <xdr:sp macro="" textlink="">
          <xdr:nvSpPr>
            <xdr:cNvPr id="84998" name="Check Box 6" hidden="1">
              <a:extLst>
                <a:ext uri="{63B3BB69-23CF-44E3-9099-C40C66FF867C}">
                  <a14:compatExt spid="_x0000_s849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47625</xdr:rowOff>
        </xdr:from>
        <xdr:to>
          <xdr:col>14</xdr:col>
          <xdr:colOff>200025</xdr:colOff>
          <xdr:row>18</xdr:row>
          <xdr:rowOff>257175</xdr:rowOff>
        </xdr:to>
        <xdr:sp macro="" textlink="">
          <xdr:nvSpPr>
            <xdr:cNvPr id="84999" name="Check Box 7" hidden="1">
              <a:extLst>
                <a:ext uri="{63B3BB69-23CF-44E3-9099-C40C66FF867C}">
                  <a14:compatExt spid="_x0000_s849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47625</xdr:rowOff>
        </xdr:from>
        <xdr:to>
          <xdr:col>14</xdr:col>
          <xdr:colOff>200025</xdr:colOff>
          <xdr:row>9</xdr:row>
          <xdr:rowOff>257175</xdr:rowOff>
        </xdr:to>
        <xdr:sp macro="" textlink="">
          <xdr:nvSpPr>
            <xdr:cNvPr id="85018" name="Check Box 26" hidden="1">
              <a:extLst>
                <a:ext uri="{63B3BB69-23CF-44E3-9099-C40C66FF867C}">
                  <a14:compatExt spid="_x0000_s850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47625</xdr:rowOff>
        </xdr:from>
        <xdr:to>
          <xdr:col>14</xdr:col>
          <xdr:colOff>200025</xdr:colOff>
          <xdr:row>10</xdr:row>
          <xdr:rowOff>257175</xdr:rowOff>
        </xdr:to>
        <xdr:sp macro="" textlink="">
          <xdr:nvSpPr>
            <xdr:cNvPr id="85019" name="Check Box 27" hidden="1">
              <a:extLst>
                <a:ext uri="{63B3BB69-23CF-44E3-9099-C40C66FF867C}">
                  <a14:compatExt spid="_x0000_s850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47625</xdr:rowOff>
        </xdr:from>
        <xdr:to>
          <xdr:col>14</xdr:col>
          <xdr:colOff>200025</xdr:colOff>
          <xdr:row>13</xdr:row>
          <xdr:rowOff>257175</xdr:rowOff>
        </xdr:to>
        <xdr:sp macro="" textlink="">
          <xdr:nvSpPr>
            <xdr:cNvPr id="85020" name="Check Box 28" hidden="1">
              <a:extLst>
                <a:ext uri="{63B3BB69-23CF-44E3-9099-C40C66FF867C}">
                  <a14:compatExt spid="_x0000_s850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32</xdr:row>
          <xdr:rowOff>47625</xdr:rowOff>
        </xdr:from>
        <xdr:to>
          <xdr:col>20</xdr:col>
          <xdr:colOff>200025</xdr:colOff>
          <xdr:row>32</xdr:row>
          <xdr:rowOff>257175</xdr:rowOff>
        </xdr:to>
        <xdr:sp macro="" textlink="">
          <xdr:nvSpPr>
            <xdr:cNvPr id="85039" name="Check Box 47" hidden="1">
              <a:extLst>
                <a:ext uri="{63B3BB69-23CF-44E3-9099-C40C66FF867C}">
                  <a14:compatExt spid="_x0000_s85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47625</xdr:rowOff>
        </xdr:from>
        <xdr:to>
          <xdr:col>20</xdr:col>
          <xdr:colOff>200025</xdr:colOff>
          <xdr:row>35</xdr:row>
          <xdr:rowOff>257175</xdr:rowOff>
        </xdr:to>
        <xdr:sp macro="" textlink="">
          <xdr:nvSpPr>
            <xdr:cNvPr id="85040" name="Check Box 48" hidden="1">
              <a:extLst>
                <a:ext uri="{63B3BB69-23CF-44E3-9099-C40C66FF867C}">
                  <a14:compatExt spid="_x0000_s85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47625</xdr:rowOff>
        </xdr:from>
        <xdr:to>
          <xdr:col>20</xdr:col>
          <xdr:colOff>200025</xdr:colOff>
          <xdr:row>36</xdr:row>
          <xdr:rowOff>257175</xdr:rowOff>
        </xdr:to>
        <xdr:sp macro="" textlink="">
          <xdr:nvSpPr>
            <xdr:cNvPr id="85041" name="Check Box 49" hidden="1">
              <a:extLst>
                <a:ext uri="{63B3BB69-23CF-44E3-9099-C40C66FF867C}">
                  <a14:compatExt spid="_x0000_s85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47625</xdr:rowOff>
        </xdr:from>
        <xdr:to>
          <xdr:col>14</xdr:col>
          <xdr:colOff>200025</xdr:colOff>
          <xdr:row>11</xdr:row>
          <xdr:rowOff>257175</xdr:rowOff>
        </xdr:to>
        <xdr:sp macro="" textlink="">
          <xdr:nvSpPr>
            <xdr:cNvPr id="85054" name="Check Box 62" hidden="1">
              <a:extLst>
                <a:ext uri="{63B3BB69-23CF-44E3-9099-C40C66FF867C}">
                  <a14:compatExt spid="_x0000_s85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47625</xdr:rowOff>
        </xdr:from>
        <xdr:to>
          <xdr:col>14</xdr:col>
          <xdr:colOff>200025</xdr:colOff>
          <xdr:row>12</xdr:row>
          <xdr:rowOff>257175</xdr:rowOff>
        </xdr:to>
        <xdr:sp macro="" textlink="">
          <xdr:nvSpPr>
            <xdr:cNvPr id="85058" name="Check Box 66" hidden="1">
              <a:extLst>
                <a:ext uri="{63B3BB69-23CF-44E3-9099-C40C66FF867C}">
                  <a14:compatExt spid="_x0000_s85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33</xdr:row>
          <xdr:rowOff>47625</xdr:rowOff>
        </xdr:from>
        <xdr:to>
          <xdr:col>20</xdr:col>
          <xdr:colOff>200025</xdr:colOff>
          <xdr:row>33</xdr:row>
          <xdr:rowOff>257175</xdr:rowOff>
        </xdr:to>
        <xdr:sp macro="" textlink="">
          <xdr:nvSpPr>
            <xdr:cNvPr id="85059" name="Check Box 67" hidden="1">
              <a:extLst>
                <a:ext uri="{63B3BB69-23CF-44E3-9099-C40C66FF867C}">
                  <a14:compatExt spid="_x0000_s85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47625</xdr:rowOff>
        </xdr:from>
        <xdr:to>
          <xdr:col>20</xdr:col>
          <xdr:colOff>200025</xdr:colOff>
          <xdr:row>34</xdr:row>
          <xdr:rowOff>257175</xdr:rowOff>
        </xdr:to>
        <xdr:sp macro="" textlink="">
          <xdr:nvSpPr>
            <xdr:cNvPr id="85060" name="Check Box 68" hidden="1">
              <a:extLst>
                <a:ext uri="{63B3BB69-23CF-44E3-9099-C40C66FF867C}">
                  <a14:compatExt spid="_x0000_s85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7</xdr:row>
          <xdr:rowOff>47625</xdr:rowOff>
        </xdr:from>
        <xdr:to>
          <xdr:col>14</xdr:col>
          <xdr:colOff>200025</xdr:colOff>
          <xdr:row>7</xdr:row>
          <xdr:rowOff>257175</xdr:rowOff>
        </xdr:to>
        <xdr:sp macro="" textlink="">
          <xdr:nvSpPr>
            <xdr:cNvPr id="85061" name="Check Box 69" hidden="1">
              <a:extLst>
                <a:ext uri="{63B3BB69-23CF-44E3-9099-C40C66FF867C}">
                  <a14:compatExt spid="_x0000_s85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47625</xdr:rowOff>
        </xdr:from>
        <xdr:to>
          <xdr:col>14</xdr:col>
          <xdr:colOff>200025</xdr:colOff>
          <xdr:row>8</xdr:row>
          <xdr:rowOff>257175</xdr:rowOff>
        </xdr:to>
        <xdr:sp macro="" textlink="">
          <xdr:nvSpPr>
            <xdr:cNvPr id="85062" name="Check Box 70" hidden="1">
              <a:extLst>
                <a:ext uri="{63B3BB69-23CF-44E3-9099-C40C66FF867C}">
                  <a14:compatExt spid="_x0000_s85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47625</xdr:rowOff>
        </xdr:from>
        <xdr:to>
          <xdr:col>14</xdr:col>
          <xdr:colOff>200025</xdr:colOff>
          <xdr:row>14</xdr:row>
          <xdr:rowOff>257175</xdr:rowOff>
        </xdr:to>
        <xdr:sp macro="" textlink="">
          <xdr:nvSpPr>
            <xdr:cNvPr id="85063" name="Check Box 71" hidden="1">
              <a:extLst>
                <a:ext uri="{63B3BB69-23CF-44E3-9099-C40C66FF867C}">
                  <a14:compatExt spid="_x0000_s85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47625</xdr:rowOff>
        </xdr:from>
        <xdr:to>
          <xdr:col>14</xdr:col>
          <xdr:colOff>200025</xdr:colOff>
          <xdr:row>15</xdr:row>
          <xdr:rowOff>257175</xdr:rowOff>
        </xdr:to>
        <xdr:sp macro="" textlink="">
          <xdr:nvSpPr>
            <xdr:cNvPr id="85064" name="Check Box 72" hidden="1">
              <a:extLst>
                <a:ext uri="{63B3BB69-23CF-44E3-9099-C40C66FF867C}">
                  <a14:compatExt spid="_x0000_s85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47625</xdr:rowOff>
        </xdr:from>
        <xdr:to>
          <xdr:col>14</xdr:col>
          <xdr:colOff>200025</xdr:colOff>
          <xdr:row>16</xdr:row>
          <xdr:rowOff>257175</xdr:rowOff>
        </xdr:to>
        <xdr:sp macro="" textlink="">
          <xdr:nvSpPr>
            <xdr:cNvPr id="85065" name="Check Box 73" hidden="1">
              <a:extLst>
                <a:ext uri="{63B3BB69-23CF-44E3-9099-C40C66FF867C}">
                  <a14:compatExt spid="_x0000_s85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47625</xdr:rowOff>
        </xdr:from>
        <xdr:to>
          <xdr:col>14</xdr:col>
          <xdr:colOff>200025</xdr:colOff>
          <xdr:row>17</xdr:row>
          <xdr:rowOff>257175</xdr:rowOff>
        </xdr:to>
        <xdr:sp macro="" textlink="">
          <xdr:nvSpPr>
            <xdr:cNvPr id="85066" name="Check Box 74" hidden="1">
              <a:extLst>
                <a:ext uri="{63B3BB69-23CF-44E3-9099-C40C66FF867C}">
                  <a14:compatExt spid="_x0000_s85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47625</xdr:rowOff>
        </xdr:from>
        <xdr:to>
          <xdr:col>14</xdr:col>
          <xdr:colOff>200025</xdr:colOff>
          <xdr:row>18</xdr:row>
          <xdr:rowOff>257175</xdr:rowOff>
        </xdr:to>
        <xdr:sp macro="" textlink="">
          <xdr:nvSpPr>
            <xdr:cNvPr id="85067" name="Check Box 75" hidden="1">
              <a:extLst>
                <a:ext uri="{63B3BB69-23CF-44E3-9099-C40C66FF867C}">
                  <a14:compatExt spid="_x0000_s85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47625</xdr:rowOff>
        </xdr:from>
        <xdr:to>
          <xdr:col>14</xdr:col>
          <xdr:colOff>200025</xdr:colOff>
          <xdr:row>9</xdr:row>
          <xdr:rowOff>257175</xdr:rowOff>
        </xdr:to>
        <xdr:sp macro="" textlink="">
          <xdr:nvSpPr>
            <xdr:cNvPr id="85068" name="Check Box 76" hidden="1">
              <a:extLst>
                <a:ext uri="{63B3BB69-23CF-44E3-9099-C40C66FF867C}">
                  <a14:compatExt spid="_x0000_s85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47625</xdr:rowOff>
        </xdr:from>
        <xdr:to>
          <xdr:col>14</xdr:col>
          <xdr:colOff>200025</xdr:colOff>
          <xdr:row>10</xdr:row>
          <xdr:rowOff>257175</xdr:rowOff>
        </xdr:to>
        <xdr:sp macro="" textlink="">
          <xdr:nvSpPr>
            <xdr:cNvPr id="85069" name="Check Box 77" hidden="1">
              <a:extLst>
                <a:ext uri="{63B3BB69-23CF-44E3-9099-C40C66FF867C}">
                  <a14:compatExt spid="_x0000_s85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47625</xdr:rowOff>
        </xdr:from>
        <xdr:to>
          <xdr:col>14</xdr:col>
          <xdr:colOff>200025</xdr:colOff>
          <xdr:row>13</xdr:row>
          <xdr:rowOff>257175</xdr:rowOff>
        </xdr:to>
        <xdr:sp macro="" textlink="">
          <xdr:nvSpPr>
            <xdr:cNvPr id="85070" name="Check Box 78" hidden="1">
              <a:extLst>
                <a:ext uri="{63B3BB69-23CF-44E3-9099-C40C66FF867C}">
                  <a14:compatExt spid="_x0000_s85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47625</xdr:rowOff>
        </xdr:from>
        <xdr:to>
          <xdr:col>14</xdr:col>
          <xdr:colOff>200025</xdr:colOff>
          <xdr:row>11</xdr:row>
          <xdr:rowOff>257175</xdr:rowOff>
        </xdr:to>
        <xdr:sp macro="" textlink="">
          <xdr:nvSpPr>
            <xdr:cNvPr id="85071" name="Check Box 79" hidden="1">
              <a:extLst>
                <a:ext uri="{63B3BB69-23CF-44E3-9099-C40C66FF867C}">
                  <a14:compatExt spid="_x0000_s85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47625</xdr:rowOff>
        </xdr:from>
        <xdr:to>
          <xdr:col>14</xdr:col>
          <xdr:colOff>200025</xdr:colOff>
          <xdr:row>12</xdr:row>
          <xdr:rowOff>257175</xdr:rowOff>
        </xdr:to>
        <xdr:sp macro="" textlink="">
          <xdr:nvSpPr>
            <xdr:cNvPr id="85072" name="Check Box 80" hidden="1">
              <a:extLst>
                <a:ext uri="{63B3BB69-23CF-44E3-9099-C40C66FF867C}">
                  <a14:compatExt spid="_x0000_s85072"/>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xdr:col>
      <xdr:colOff>85725</xdr:colOff>
      <xdr:row>22</xdr:row>
      <xdr:rowOff>257175</xdr:rowOff>
    </xdr:from>
    <xdr:to>
      <xdr:col>7</xdr:col>
      <xdr:colOff>219075</xdr:colOff>
      <xdr:row>36</xdr:row>
      <xdr:rowOff>0</xdr:rowOff>
    </xdr:to>
    <xdr:grpSp>
      <xdr:nvGrpSpPr>
        <xdr:cNvPr id="98412" name="グループ化 2">
          <a:extLst>
            <a:ext uri="{FF2B5EF4-FFF2-40B4-BE49-F238E27FC236}">
              <a16:creationId xmlns="" xmlns:a16="http://schemas.microsoft.com/office/drawing/2014/main" id="{00000000-0008-0000-0300-00006C800100}"/>
            </a:ext>
          </a:extLst>
        </xdr:cNvPr>
        <xdr:cNvGrpSpPr>
          <a:grpSpLocks/>
        </xdr:cNvGrpSpPr>
      </xdr:nvGrpSpPr>
      <xdr:grpSpPr bwMode="auto">
        <a:xfrm>
          <a:off x="447675" y="6096000"/>
          <a:ext cx="1609725" cy="3457575"/>
          <a:chOff x="381000" y="5495925"/>
          <a:chExt cx="1609725" cy="2628900"/>
        </a:xfrm>
      </xdr:grpSpPr>
      <xdr:pic>
        <xdr:nvPicPr>
          <xdr:cNvPr id="98414" name="Picture 1">
            <a:extLst>
              <a:ext uri="{FF2B5EF4-FFF2-40B4-BE49-F238E27FC236}">
                <a16:creationId xmlns="" xmlns:a16="http://schemas.microsoft.com/office/drawing/2014/main" id="{00000000-0008-0000-0300-00006E80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a:extLst>
              <a:ext uri="{FF2B5EF4-FFF2-40B4-BE49-F238E27FC236}">
                <a16:creationId xmlns="" xmlns:a16="http://schemas.microsoft.com/office/drawing/2014/main" id="{00000000-0008-0000-0300-000005000000}"/>
              </a:ext>
            </a:extLst>
          </xdr:cNvPr>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33</xdr:col>
      <xdr:colOff>44824</xdr:colOff>
      <xdr:row>28</xdr:row>
      <xdr:rowOff>67236</xdr:rowOff>
    </xdr:from>
    <xdr:to>
      <xdr:col>52</xdr:col>
      <xdr:colOff>676276</xdr:colOff>
      <xdr:row>37</xdr:row>
      <xdr:rowOff>181537</xdr:rowOff>
    </xdr:to>
    <xdr:pic>
      <xdr:nvPicPr>
        <xdr:cNvPr id="98413" name="図 5">
          <a:extLst>
            <a:ext uri="{FF2B5EF4-FFF2-40B4-BE49-F238E27FC236}">
              <a16:creationId xmlns="" xmlns:a16="http://schemas.microsoft.com/office/drawing/2014/main" id="{00000000-0008-0000-0300-00006D80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892118" y="7664824"/>
          <a:ext cx="5371540" cy="2478742"/>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190500</xdr:colOff>
          <xdr:row>7</xdr:row>
          <xdr:rowOff>47625</xdr:rowOff>
        </xdr:from>
        <xdr:to>
          <xdr:col>14</xdr:col>
          <xdr:colOff>200025</xdr:colOff>
          <xdr:row>7</xdr:row>
          <xdr:rowOff>257175</xdr:rowOff>
        </xdr:to>
        <xdr:sp macro="" textlink="">
          <xdr:nvSpPr>
            <xdr:cNvPr id="98305" name="Check Box 1" hidden="1">
              <a:extLst>
                <a:ext uri="{63B3BB69-23CF-44E3-9099-C40C66FF867C}">
                  <a14:compatExt spid="_x0000_s98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47625</xdr:rowOff>
        </xdr:from>
        <xdr:to>
          <xdr:col>14</xdr:col>
          <xdr:colOff>200025</xdr:colOff>
          <xdr:row>8</xdr:row>
          <xdr:rowOff>257175</xdr:rowOff>
        </xdr:to>
        <xdr:sp macro="" textlink="">
          <xdr:nvSpPr>
            <xdr:cNvPr id="98306" name="Check Box 2" hidden="1">
              <a:extLst>
                <a:ext uri="{63B3BB69-23CF-44E3-9099-C40C66FF867C}">
                  <a14:compatExt spid="_x0000_s98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47625</xdr:rowOff>
        </xdr:from>
        <xdr:to>
          <xdr:col>14</xdr:col>
          <xdr:colOff>200025</xdr:colOff>
          <xdr:row>14</xdr:row>
          <xdr:rowOff>257175</xdr:rowOff>
        </xdr:to>
        <xdr:sp macro="" textlink="">
          <xdr:nvSpPr>
            <xdr:cNvPr id="98307" name="Check Box 3" hidden="1">
              <a:extLst>
                <a:ext uri="{63B3BB69-23CF-44E3-9099-C40C66FF867C}">
                  <a14:compatExt spid="_x0000_s98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47625</xdr:rowOff>
        </xdr:from>
        <xdr:to>
          <xdr:col>14</xdr:col>
          <xdr:colOff>200025</xdr:colOff>
          <xdr:row>15</xdr:row>
          <xdr:rowOff>257175</xdr:rowOff>
        </xdr:to>
        <xdr:sp macro="" textlink="">
          <xdr:nvSpPr>
            <xdr:cNvPr id="98308" name="Check Box 4" hidden="1">
              <a:extLst>
                <a:ext uri="{63B3BB69-23CF-44E3-9099-C40C66FF867C}">
                  <a14:compatExt spid="_x0000_s98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47625</xdr:rowOff>
        </xdr:from>
        <xdr:to>
          <xdr:col>14</xdr:col>
          <xdr:colOff>200025</xdr:colOff>
          <xdr:row>16</xdr:row>
          <xdr:rowOff>257175</xdr:rowOff>
        </xdr:to>
        <xdr:sp macro="" textlink="">
          <xdr:nvSpPr>
            <xdr:cNvPr id="98309" name="Check Box 5" hidden="1">
              <a:extLst>
                <a:ext uri="{63B3BB69-23CF-44E3-9099-C40C66FF867C}">
                  <a14:compatExt spid="_x0000_s98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47625</xdr:rowOff>
        </xdr:from>
        <xdr:to>
          <xdr:col>14</xdr:col>
          <xdr:colOff>200025</xdr:colOff>
          <xdr:row>17</xdr:row>
          <xdr:rowOff>257175</xdr:rowOff>
        </xdr:to>
        <xdr:sp macro="" textlink="">
          <xdr:nvSpPr>
            <xdr:cNvPr id="98310" name="Check Box 6" hidden="1">
              <a:extLst>
                <a:ext uri="{63B3BB69-23CF-44E3-9099-C40C66FF867C}">
                  <a14:compatExt spid="_x0000_s98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47625</xdr:rowOff>
        </xdr:from>
        <xdr:to>
          <xdr:col>14</xdr:col>
          <xdr:colOff>200025</xdr:colOff>
          <xdr:row>18</xdr:row>
          <xdr:rowOff>257175</xdr:rowOff>
        </xdr:to>
        <xdr:sp macro="" textlink="">
          <xdr:nvSpPr>
            <xdr:cNvPr id="98311" name="Check Box 7" hidden="1">
              <a:extLst>
                <a:ext uri="{63B3BB69-23CF-44E3-9099-C40C66FF867C}">
                  <a14:compatExt spid="_x0000_s98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47625</xdr:rowOff>
        </xdr:from>
        <xdr:to>
          <xdr:col>14</xdr:col>
          <xdr:colOff>200025</xdr:colOff>
          <xdr:row>9</xdr:row>
          <xdr:rowOff>257175</xdr:rowOff>
        </xdr:to>
        <xdr:sp macro="" textlink="">
          <xdr:nvSpPr>
            <xdr:cNvPr id="98312" name="Check Box 8" hidden="1">
              <a:extLst>
                <a:ext uri="{63B3BB69-23CF-44E3-9099-C40C66FF867C}">
                  <a14:compatExt spid="_x0000_s98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47625</xdr:rowOff>
        </xdr:from>
        <xdr:to>
          <xdr:col>14</xdr:col>
          <xdr:colOff>200025</xdr:colOff>
          <xdr:row>10</xdr:row>
          <xdr:rowOff>257175</xdr:rowOff>
        </xdr:to>
        <xdr:sp macro="" textlink="">
          <xdr:nvSpPr>
            <xdr:cNvPr id="98313" name="Check Box 9" hidden="1">
              <a:extLst>
                <a:ext uri="{63B3BB69-23CF-44E3-9099-C40C66FF867C}">
                  <a14:compatExt spid="_x0000_s98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47625</xdr:rowOff>
        </xdr:from>
        <xdr:to>
          <xdr:col>14</xdr:col>
          <xdr:colOff>200025</xdr:colOff>
          <xdr:row>13</xdr:row>
          <xdr:rowOff>257175</xdr:rowOff>
        </xdr:to>
        <xdr:sp macro="" textlink="">
          <xdr:nvSpPr>
            <xdr:cNvPr id="98314" name="Check Box 10" hidden="1">
              <a:extLst>
                <a:ext uri="{63B3BB69-23CF-44E3-9099-C40C66FF867C}">
                  <a14:compatExt spid="_x0000_s98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32</xdr:row>
          <xdr:rowOff>47625</xdr:rowOff>
        </xdr:from>
        <xdr:to>
          <xdr:col>20</xdr:col>
          <xdr:colOff>200025</xdr:colOff>
          <xdr:row>32</xdr:row>
          <xdr:rowOff>257175</xdr:rowOff>
        </xdr:to>
        <xdr:sp macro="" textlink="">
          <xdr:nvSpPr>
            <xdr:cNvPr id="98326" name="Check Box 22" hidden="1">
              <a:extLst>
                <a:ext uri="{63B3BB69-23CF-44E3-9099-C40C66FF867C}">
                  <a14:compatExt spid="_x0000_s98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47625</xdr:rowOff>
        </xdr:from>
        <xdr:to>
          <xdr:col>20</xdr:col>
          <xdr:colOff>200025</xdr:colOff>
          <xdr:row>35</xdr:row>
          <xdr:rowOff>257175</xdr:rowOff>
        </xdr:to>
        <xdr:sp macro="" textlink="">
          <xdr:nvSpPr>
            <xdr:cNvPr id="98327" name="Check Box 23" hidden="1">
              <a:extLst>
                <a:ext uri="{63B3BB69-23CF-44E3-9099-C40C66FF867C}">
                  <a14:compatExt spid="_x0000_s98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47625</xdr:rowOff>
        </xdr:from>
        <xdr:to>
          <xdr:col>20</xdr:col>
          <xdr:colOff>200025</xdr:colOff>
          <xdr:row>36</xdr:row>
          <xdr:rowOff>257175</xdr:rowOff>
        </xdr:to>
        <xdr:sp macro="" textlink="">
          <xdr:nvSpPr>
            <xdr:cNvPr id="98328" name="Check Box 24" hidden="1">
              <a:extLst>
                <a:ext uri="{63B3BB69-23CF-44E3-9099-C40C66FF867C}">
                  <a14:compatExt spid="_x0000_s98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47625</xdr:rowOff>
        </xdr:from>
        <xdr:to>
          <xdr:col>14</xdr:col>
          <xdr:colOff>200025</xdr:colOff>
          <xdr:row>11</xdr:row>
          <xdr:rowOff>257175</xdr:rowOff>
        </xdr:to>
        <xdr:sp macro="" textlink="">
          <xdr:nvSpPr>
            <xdr:cNvPr id="98337" name="Check Box 33" hidden="1">
              <a:extLst>
                <a:ext uri="{63B3BB69-23CF-44E3-9099-C40C66FF867C}">
                  <a14:compatExt spid="_x0000_s98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47625</xdr:rowOff>
        </xdr:from>
        <xdr:to>
          <xdr:col>14</xdr:col>
          <xdr:colOff>200025</xdr:colOff>
          <xdr:row>12</xdr:row>
          <xdr:rowOff>257175</xdr:rowOff>
        </xdr:to>
        <xdr:sp macro="" textlink="">
          <xdr:nvSpPr>
            <xdr:cNvPr id="98339" name="Check Box 35" hidden="1">
              <a:extLst>
                <a:ext uri="{63B3BB69-23CF-44E3-9099-C40C66FF867C}">
                  <a14:compatExt spid="_x0000_s98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33</xdr:row>
          <xdr:rowOff>47625</xdr:rowOff>
        </xdr:from>
        <xdr:to>
          <xdr:col>20</xdr:col>
          <xdr:colOff>200025</xdr:colOff>
          <xdr:row>33</xdr:row>
          <xdr:rowOff>257175</xdr:rowOff>
        </xdr:to>
        <xdr:sp macro="" textlink="">
          <xdr:nvSpPr>
            <xdr:cNvPr id="98340" name="Check Box 36" hidden="1">
              <a:extLst>
                <a:ext uri="{63B3BB69-23CF-44E3-9099-C40C66FF867C}">
                  <a14:compatExt spid="_x0000_s98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47625</xdr:rowOff>
        </xdr:from>
        <xdr:to>
          <xdr:col>20</xdr:col>
          <xdr:colOff>200025</xdr:colOff>
          <xdr:row>34</xdr:row>
          <xdr:rowOff>257175</xdr:rowOff>
        </xdr:to>
        <xdr:sp macro="" textlink="">
          <xdr:nvSpPr>
            <xdr:cNvPr id="98341" name="Check Box 37" hidden="1">
              <a:extLst>
                <a:ext uri="{63B3BB69-23CF-44E3-9099-C40C66FF867C}">
                  <a14:compatExt spid="_x0000_s98341"/>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xdr:col>
      <xdr:colOff>95250</xdr:colOff>
      <xdr:row>22</xdr:row>
      <xdr:rowOff>266700</xdr:rowOff>
    </xdr:from>
    <xdr:to>
      <xdr:col>7</xdr:col>
      <xdr:colOff>228600</xdr:colOff>
      <xdr:row>36</xdr:row>
      <xdr:rowOff>9525</xdr:rowOff>
    </xdr:to>
    <xdr:grpSp>
      <xdr:nvGrpSpPr>
        <xdr:cNvPr id="100461" name="グループ化 2">
          <a:extLst>
            <a:ext uri="{FF2B5EF4-FFF2-40B4-BE49-F238E27FC236}">
              <a16:creationId xmlns="" xmlns:a16="http://schemas.microsoft.com/office/drawing/2014/main" id="{00000000-0008-0000-0500-00006D880100}"/>
            </a:ext>
          </a:extLst>
        </xdr:cNvPr>
        <xdr:cNvGrpSpPr>
          <a:grpSpLocks/>
        </xdr:cNvGrpSpPr>
      </xdr:nvGrpSpPr>
      <xdr:grpSpPr bwMode="auto">
        <a:xfrm>
          <a:off x="457200" y="6105525"/>
          <a:ext cx="1609725" cy="3457575"/>
          <a:chOff x="381000" y="5495925"/>
          <a:chExt cx="1609725" cy="2628900"/>
        </a:xfrm>
      </xdr:grpSpPr>
      <xdr:pic>
        <xdr:nvPicPr>
          <xdr:cNvPr id="100463" name="Picture 1">
            <a:extLst>
              <a:ext uri="{FF2B5EF4-FFF2-40B4-BE49-F238E27FC236}">
                <a16:creationId xmlns="" xmlns:a16="http://schemas.microsoft.com/office/drawing/2014/main" id="{00000000-0008-0000-0500-00006F88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a:extLst>
              <a:ext uri="{FF2B5EF4-FFF2-40B4-BE49-F238E27FC236}">
                <a16:creationId xmlns="" xmlns:a16="http://schemas.microsoft.com/office/drawing/2014/main" id="{00000000-0008-0000-0500-000005000000}"/>
              </a:ext>
            </a:extLst>
          </xdr:cNvPr>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27</xdr:col>
      <xdr:colOff>219075</xdr:colOff>
      <xdr:row>37</xdr:row>
      <xdr:rowOff>228600</xdr:rowOff>
    </xdr:from>
    <xdr:to>
      <xdr:col>52</xdr:col>
      <xdr:colOff>323290</xdr:colOff>
      <xdr:row>47</xdr:row>
      <xdr:rowOff>66675</xdr:rowOff>
    </xdr:to>
    <xdr:pic>
      <xdr:nvPicPr>
        <xdr:cNvPr id="100462" name="図 5">
          <a:extLst>
            <a:ext uri="{FF2B5EF4-FFF2-40B4-BE49-F238E27FC236}">
              <a16:creationId xmlns="" xmlns:a16="http://schemas.microsoft.com/office/drawing/2014/main" id="{00000000-0008-0000-0500-00006E88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582025" y="10182225"/>
          <a:ext cx="5400675" cy="24479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190500</xdr:colOff>
          <xdr:row>7</xdr:row>
          <xdr:rowOff>47625</xdr:rowOff>
        </xdr:from>
        <xdr:to>
          <xdr:col>14</xdr:col>
          <xdr:colOff>200025</xdr:colOff>
          <xdr:row>7</xdr:row>
          <xdr:rowOff>257175</xdr:rowOff>
        </xdr:to>
        <xdr:sp macro="" textlink="">
          <xdr:nvSpPr>
            <xdr:cNvPr id="100353" name="Check Box 1" hidden="1">
              <a:extLst>
                <a:ext uri="{63B3BB69-23CF-44E3-9099-C40C66FF867C}">
                  <a14:compatExt spid="_x0000_s100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47625</xdr:rowOff>
        </xdr:from>
        <xdr:to>
          <xdr:col>14</xdr:col>
          <xdr:colOff>200025</xdr:colOff>
          <xdr:row>8</xdr:row>
          <xdr:rowOff>257175</xdr:rowOff>
        </xdr:to>
        <xdr:sp macro="" textlink="">
          <xdr:nvSpPr>
            <xdr:cNvPr id="100354" name="Check Box 2" hidden="1">
              <a:extLst>
                <a:ext uri="{63B3BB69-23CF-44E3-9099-C40C66FF867C}">
                  <a14:compatExt spid="_x0000_s100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47625</xdr:rowOff>
        </xdr:from>
        <xdr:to>
          <xdr:col>14</xdr:col>
          <xdr:colOff>200025</xdr:colOff>
          <xdr:row>14</xdr:row>
          <xdr:rowOff>257175</xdr:rowOff>
        </xdr:to>
        <xdr:sp macro="" textlink="">
          <xdr:nvSpPr>
            <xdr:cNvPr id="100355" name="Check Box 3" hidden="1">
              <a:extLst>
                <a:ext uri="{63B3BB69-23CF-44E3-9099-C40C66FF867C}">
                  <a14:compatExt spid="_x0000_s100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47625</xdr:rowOff>
        </xdr:from>
        <xdr:to>
          <xdr:col>14</xdr:col>
          <xdr:colOff>200025</xdr:colOff>
          <xdr:row>15</xdr:row>
          <xdr:rowOff>257175</xdr:rowOff>
        </xdr:to>
        <xdr:sp macro="" textlink="">
          <xdr:nvSpPr>
            <xdr:cNvPr id="100356" name="Check Box 4" hidden="1">
              <a:extLst>
                <a:ext uri="{63B3BB69-23CF-44E3-9099-C40C66FF867C}">
                  <a14:compatExt spid="_x0000_s100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47625</xdr:rowOff>
        </xdr:from>
        <xdr:to>
          <xdr:col>14</xdr:col>
          <xdr:colOff>200025</xdr:colOff>
          <xdr:row>16</xdr:row>
          <xdr:rowOff>257175</xdr:rowOff>
        </xdr:to>
        <xdr:sp macro="" textlink="">
          <xdr:nvSpPr>
            <xdr:cNvPr id="100357" name="Check Box 5" hidden="1">
              <a:extLst>
                <a:ext uri="{63B3BB69-23CF-44E3-9099-C40C66FF867C}">
                  <a14:compatExt spid="_x0000_s100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47625</xdr:rowOff>
        </xdr:from>
        <xdr:to>
          <xdr:col>14</xdr:col>
          <xdr:colOff>200025</xdr:colOff>
          <xdr:row>17</xdr:row>
          <xdr:rowOff>257175</xdr:rowOff>
        </xdr:to>
        <xdr:sp macro="" textlink="">
          <xdr:nvSpPr>
            <xdr:cNvPr id="100358" name="Check Box 6" hidden="1">
              <a:extLst>
                <a:ext uri="{63B3BB69-23CF-44E3-9099-C40C66FF867C}">
                  <a14:compatExt spid="_x0000_s100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47625</xdr:rowOff>
        </xdr:from>
        <xdr:to>
          <xdr:col>14</xdr:col>
          <xdr:colOff>200025</xdr:colOff>
          <xdr:row>18</xdr:row>
          <xdr:rowOff>257175</xdr:rowOff>
        </xdr:to>
        <xdr:sp macro="" textlink="">
          <xdr:nvSpPr>
            <xdr:cNvPr id="100359" name="Check Box 7" hidden="1">
              <a:extLst>
                <a:ext uri="{63B3BB69-23CF-44E3-9099-C40C66FF867C}">
                  <a14:compatExt spid="_x0000_s100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47625</xdr:rowOff>
        </xdr:from>
        <xdr:to>
          <xdr:col>14</xdr:col>
          <xdr:colOff>200025</xdr:colOff>
          <xdr:row>9</xdr:row>
          <xdr:rowOff>257175</xdr:rowOff>
        </xdr:to>
        <xdr:sp macro="" textlink="">
          <xdr:nvSpPr>
            <xdr:cNvPr id="100360" name="Check Box 8" hidden="1">
              <a:extLst>
                <a:ext uri="{63B3BB69-23CF-44E3-9099-C40C66FF867C}">
                  <a14:compatExt spid="_x0000_s100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47625</xdr:rowOff>
        </xdr:from>
        <xdr:to>
          <xdr:col>14</xdr:col>
          <xdr:colOff>200025</xdr:colOff>
          <xdr:row>10</xdr:row>
          <xdr:rowOff>257175</xdr:rowOff>
        </xdr:to>
        <xdr:sp macro="" textlink="">
          <xdr:nvSpPr>
            <xdr:cNvPr id="100361" name="Check Box 9" hidden="1">
              <a:extLst>
                <a:ext uri="{63B3BB69-23CF-44E3-9099-C40C66FF867C}">
                  <a14:compatExt spid="_x0000_s100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47625</xdr:rowOff>
        </xdr:from>
        <xdr:to>
          <xdr:col>14</xdr:col>
          <xdr:colOff>200025</xdr:colOff>
          <xdr:row>13</xdr:row>
          <xdr:rowOff>257175</xdr:rowOff>
        </xdr:to>
        <xdr:sp macro="" textlink="">
          <xdr:nvSpPr>
            <xdr:cNvPr id="100362" name="Check Box 10" hidden="1">
              <a:extLst>
                <a:ext uri="{63B3BB69-23CF-44E3-9099-C40C66FF867C}">
                  <a14:compatExt spid="_x0000_s100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32</xdr:row>
          <xdr:rowOff>47625</xdr:rowOff>
        </xdr:from>
        <xdr:to>
          <xdr:col>20</xdr:col>
          <xdr:colOff>200025</xdr:colOff>
          <xdr:row>32</xdr:row>
          <xdr:rowOff>257175</xdr:rowOff>
        </xdr:to>
        <xdr:sp macro="" textlink="">
          <xdr:nvSpPr>
            <xdr:cNvPr id="100375" name="Check Box 23" hidden="1">
              <a:extLst>
                <a:ext uri="{63B3BB69-23CF-44E3-9099-C40C66FF867C}">
                  <a14:compatExt spid="_x0000_s100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47625</xdr:rowOff>
        </xdr:from>
        <xdr:to>
          <xdr:col>20</xdr:col>
          <xdr:colOff>200025</xdr:colOff>
          <xdr:row>35</xdr:row>
          <xdr:rowOff>257175</xdr:rowOff>
        </xdr:to>
        <xdr:sp macro="" textlink="">
          <xdr:nvSpPr>
            <xdr:cNvPr id="100376" name="Check Box 24" hidden="1">
              <a:extLst>
                <a:ext uri="{63B3BB69-23CF-44E3-9099-C40C66FF867C}">
                  <a14:compatExt spid="_x0000_s100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47625</xdr:rowOff>
        </xdr:from>
        <xdr:to>
          <xdr:col>20</xdr:col>
          <xdr:colOff>200025</xdr:colOff>
          <xdr:row>36</xdr:row>
          <xdr:rowOff>257175</xdr:rowOff>
        </xdr:to>
        <xdr:sp macro="" textlink="">
          <xdr:nvSpPr>
            <xdr:cNvPr id="100377" name="Check Box 25" hidden="1">
              <a:extLst>
                <a:ext uri="{63B3BB69-23CF-44E3-9099-C40C66FF867C}">
                  <a14:compatExt spid="_x0000_s100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47625</xdr:rowOff>
        </xdr:from>
        <xdr:to>
          <xdr:col>14</xdr:col>
          <xdr:colOff>200025</xdr:colOff>
          <xdr:row>11</xdr:row>
          <xdr:rowOff>257175</xdr:rowOff>
        </xdr:to>
        <xdr:sp macro="" textlink="">
          <xdr:nvSpPr>
            <xdr:cNvPr id="100387" name="Check Box 35" hidden="1">
              <a:extLst>
                <a:ext uri="{63B3BB69-23CF-44E3-9099-C40C66FF867C}">
                  <a14:compatExt spid="_x0000_s100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47625</xdr:rowOff>
        </xdr:from>
        <xdr:to>
          <xdr:col>14</xdr:col>
          <xdr:colOff>200025</xdr:colOff>
          <xdr:row>12</xdr:row>
          <xdr:rowOff>257175</xdr:rowOff>
        </xdr:to>
        <xdr:sp macro="" textlink="">
          <xdr:nvSpPr>
            <xdr:cNvPr id="100388" name="Check Box 36" hidden="1">
              <a:extLst>
                <a:ext uri="{63B3BB69-23CF-44E3-9099-C40C66FF867C}">
                  <a14:compatExt spid="_x0000_s100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33</xdr:row>
          <xdr:rowOff>47625</xdr:rowOff>
        </xdr:from>
        <xdr:to>
          <xdr:col>20</xdr:col>
          <xdr:colOff>200025</xdr:colOff>
          <xdr:row>33</xdr:row>
          <xdr:rowOff>257175</xdr:rowOff>
        </xdr:to>
        <xdr:sp macro="" textlink="">
          <xdr:nvSpPr>
            <xdr:cNvPr id="100389" name="Check Box 37" hidden="1">
              <a:extLst>
                <a:ext uri="{63B3BB69-23CF-44E3-9099-C40C66FF867C}">
                  <a14:compatExt spid="_x0000_s100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47625</xdr:rowOff>
        </xdr:from>
        <xdr:to>
          <xdr:col>20</xdr:col>
          <xdr:colOff>200025</xdr:colOff>
          <xdr:row>34</xdr:row>
          <xdr:rowOff>257175</xdr:rowOff>
        </xdr:to>
        <xdr:sp macro="" textlink="">
          <xdr:nvSpPr>
            <xdr:cNvPr id="100391" name="Check Box 39" hidden="1">
              <a:extLst>
                <a:ext uri="{63B3BB69-23CF-44E3-9099-C40C66FF867C}">
                  <a14:compatExt spid="_x0000_s100391"/>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xdr:col>
      <xdr:colOff>85725</xdr:colOff>
      <xdr:row>22</xdr:row>
      <xdr:rowOff>257175</xdr:rowOff>
    </xdr:from>
    <xdr:to>
      <xdr:col>7</xdr:col>
      <xdr:colOff>219075</xdr:colOff>
      <xdr:row>36</xdr:row>
      <xdr:rowOff>0</xdr:rowOff>
    </xdr:to>
    <xdr:grpSp>
      <xdr:nvGrpSpPr>
        <xdr:cNvPr id="102508" name="グループ化 2">
          <a:extLst>
            <a:ext uri="{FF2B5EF4-FFF2-40B4-BE49-F238E27FC236}">
              <a16:creationId xmlns="" xmlns:a16="http://schemas.microsoft.com/office/drawing/2014/main" id="{00000000-0008-0000-0700-00006C900100}"/>
            </a:ext>
          </a:extLst>
        </xdr:cNvPr>
        <xdr:cNvGrpSpPr>
          <a:grpSpLocks/>
        </xdr:cNvGrpSpPr>
      </xdr:nvGrpSpPr>
      <xdr:grpSpPr bwMode="auto">
        <a:xfrm>
          <a:off x="447675" y="6096000"/>
          <a:ext cx="1609725" cy="3457575"/>
          <a:chOff x="381000" y="5495925"/>
          <a:chExt cx="1609725" cy="2628900"/>
        </a:xfrm>
      </xdr:grpSpPr>
      <xdr:pic>
        <xdr:nvPicPr>
          <xdr:cNvPr id="102510" name="Picture 1">
            <a:extLst>
              <a:ext uri="{FF2B5EF4-FFF2-40B4-BE49-F238E27FC236}">
                <a16:creationId xmlns="" xmlns:a16="http://schemas.microsoft.com/office/drawing/2014/main" id="{00000000-0008-0000-0700-00006E90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a:extLst>
              <a:ext uri="{FF2B5EF4-FFF2-40B4-BE49-F238E27FC236}">
                <a16:creationId xmlns="" xmlns:a16="http://schemas.microsoft.com/office/drawing/2014/main" id="{00000000-0008-0000-0700-000005000000}"/>
              </a:ext>
            </a:extLst>
          </xdr:cNvPr>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28</xdr:col>
      <xdr:colOff>66675</xdr:colOff>
      <xdr:row>36</xdr:row>
      <xdr:rowOff>114300</xdr:rowOff>
    </xdr:from>
    <xdr:to>
      <xdr:col>52</xdr:col>
      <xdr:colOff>466165</xdr:colOff>
      <xdr:row>45</xdr:row>
      <xdr:rowOff>228600</xdr:rowOff>
    </xdr:to>
    <xdr:pic>
      <xdr:nvPicPr>
        <xdr:cNvPr id="102509" name="図 5">
          <a:extLst>
            <a:ext uri="{FF2B5EF4-FFF2-40B4-BE49-F238E27FC236}">
              <a16:creationId xmlns="" xmlns:a16="http://schemas.microsoft.com/office/drawing/2014/main" id="{00000000-0008-0000-0700-00006D90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24900" y="9791700"/>
          <a:ext cx="5400675" cy="24479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190500</xdr:colOff>
          <xdr:row>7</xdr:row>
          <xdr:rowOff>47625</xdr:rowOff>
        </xdr:from>
        <xdr:to>
          <xdr:col>14</xdr:col>
          <xdr:colOff>200025</xdr:colOff>
          <xdr:row>7</xdr:row>
          <xdr:rowOff>257175</xdr:rowOff>
        </xdr:to>
        <xdr:sp macro="" textlink="">
          <xdr:nvSpPr>
            <xdr:cNvPr id="102401" name="Check Box 1" hidden="1">
              <a:extLst>
                <a:ext uri="{63B3BB69-23CF-44E3-9099-C40C66FF867C}">
                  <a14:compatExt spid="_x0000_s102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47625</xdr:rowOff>
        </xdr:from>
        <xdr:to>
          <xdr:col>14</xdr:col>
          <xdr:colOff>200025</xdr:colOff>
          <xdr:row>8</xdr:row>
          <xdr:rowOff>257175</xdr:rowOff>
        </xdr:to>
        <xdr:sp macro="" textlink="">
          <xdr:nvSpPr>
            <xdr:cNvPr id="102402" name="Check Box 2" hidden="1">
              <a:extLst>
                <a:ext uri="{63B3BB69-23CF-44E3-9099-C40C66FF867C}">
                  <a14:compatExt spid="_x0000_s102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47625</xdr:rowOff>
        </xdr:from>
        <xdr:to>
          <xdr:col>14</xdr:col>
          <xdr:colOff>200025</xdr:colOff>
          <xdr:row>14</xdr:row>
          <xdr:rowOff>257175</xdr:rowOff>
        </xdr:to>
        <xdr:sp macro="" textlink="">
          <xdr:nvSpPr>
            <xdr:cNvPr id="102403" name="Check Box 3" hidden="1">
              <a:extLst>
                <a:ext uri="{63B3BB69-23CF-44E3-9099-C40C66FF867C}">
                  <a14:compatExt spid="_x0000_s102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47625</xdr:rowOff>
        </xdr:from>
        <xdr:to>
          <xdr:col>14</xdr:col>
          <xdr:colOff>200025</xdr:colOff>
          <xdr:row>15</xdr:row>
          <xdr:rowOff>257175</xdr:rowOff>
        </xdr:to>
        <xdr:sp macro="" textlink="">
          <xdr:nvSpPr>
            <xdr:cNvPr id="102404" name="Check Box 4" hidden="1">
              <a:extLst>
                <a:ext uri="{63B3BB69-23CF-44E3-9099-C40C66FF867C}">
                  <a14:compatExt spid="_x0000_s102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47625</xdr:rowOff>
        </xdr:from>
        <xdr:to>
          <xdr:col>14</xdr:col>
          <xdr:colOff>200025</xdr:colOff>
          <xdr:row>16</xdr:row>
          <xdr:rowOff>257175</xdr:rowOff>
        </xdr:to>
        <xdr:sp macro="" textlink="">
          <xdr:nvSpPr>
            <xdr:cNvPr id="102405" name="Check Box 5" hidden="1">
              <a:extLst>
                <a:ext uri="{63B3BB69-23CF-44E3-9099-C40C66FF867C}">
                  <a14:compatExt spid="_x0000_s102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47625</xdr:rowOff>
        </xdr:from>
        <xdr:to>
          <xdr:col>14</xdr:col>
          <xdr:colOff>200025</xdr:colOff>
          <xdr:row>17</xdr:row>
          <xdr:rowOff>257175</xdr:rowOff>
        </xdr:to>
        <xdr:sp macro="" textlink="">
          <xdr:nvSpPr>
            <xdr:cNvPr id="102406" name="Check Box 6" hidden="1">
              <a:extLst>
                <a:ext uri="{63B3BB69-23CF-44E3-9099-C40C66FF867C}">
                  <a14:compatExt spid="_x0000_s102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47625</xdr:rowOff>
        </xdr:from>
        <xdr:to>
          <xdr:col>14</xdr:col>
          <xdr:colOff>200025</xdr:colOff>
          <xdr:row>18</xdr:row>
          <xdr:rowOff>257175</xdr:rowOff>
        </xdr:to>
        <xdr:sp macro="" textlink="">
          <xdr:nvSpPr>
            <xdr:cNvPr id="102407" name="Check Box 7" hidden="1">
              <a:extLst>
                <a:ext uri="{63B3BB69-23CF-44E3-9099-C40C66FF867C}">
                  <a14:compatExt spid="_x0000_s102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47625</xdr:rowOff>
        </xdr:from>
        <xdr:to>
          <xdr:col>14</xdr:col>
          <xdr:colOff>200025</xdr:colOff>
          <xdr:row>9</xdr:row>
          <xdr:rowOff>257175</xdr:rowOff>
        </xdr:to>
        <xdr:sp macro="" textlink="">
          <xdr:nvSpPr>
            <xdr:cNvPr id="102408" name="Check Box 8" hidden="1">
              <a:extLst>
                <a:ext uri="{63B3BB69-23CF-44E3-9099-C40C66FF867C}">
                  <a14:compatExt spid="_x0000_s102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47625</xdr:rowOff>
        </xdr:from>
        <xdr:to>
          <xdr:col>14</xdr:col>
          <xdr:colOff>200025</xdr:colOff>
          <xdr:row>10</xdr:row>
          <xdr:rowOff>257175</xdr:rowOff>
        </xdr:to>
        <xdr:sp macro="" textlink="">
          <xdr:nvSpPr>
            <xdr:cNvPr id="102409" name="Check Box 9" hidden="1">
              <a:extLst>
                <a:ext uri="{63B3BB69-23CF-44E3-9099-C40C66FF867C}">
                  <a14:compatExt spid="_x0000_s102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47625</xdr:rowOff>
        </xdr:from>
        <xdr:to>
          <xdr:col>14</xdr:col>
          <xdr:colOff>200025</xdr:colOff>
          <xdr:row>13</xdr:row>
          <xdr:rowOff>257175</xdr:rowOff>
        </xdr:to>
        <xdr:sp macro="" textlink="">
          <xdr:nvSpPr>
            <xdr:cNvPr id="102410" name="Check Box 10" hidden="1">
              <a:extLst>
                <a:ext uri="{63B3BB69-23CF-44E3-9099-C40C66FF867C}">
                  <a14:compatExt spid="_x0000_s102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32</xdr:row>
          <xdr:rowOff>47625</xdr:rowOff>
        </xdr:from>
        <xdr:to>
          <xdr:col>20</xdr:col>
          <xdr:colOff>200025</xdr:colOff>
          <xdr:row>32</xdr:row>
          <xdr:rowOff>257175</xdr:rowOff>
        </xdr:to>
        <xdr:sp macro="" textlink="">
          <xdr:nvSpPr>
            <xdr:cNvPr id="102422" name="Check Box 22" hidden="1">
              <a:extLst>
                <a:ext uri="{63B3BB69-23CF-44E3-9099-C40C66FF867C}">
                  <a14:compatExt spid="_x0000_s102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47625</xdr:rowOff>
        </xdr:from>
        <xdr:to>
          <xdr:col>20</xdr:col>
          <xdr:colOff>200025</xdr:colOff>
          <xdr:row>35</xdr:row>
          <xdr:rowOff>257175</xdr:rowOff>
        </xdr:to>
        <xdr:sp macro="" textlink="">
          <xdr:nvSpPr>
            <xdr:cNvPr id="102423" name="Check Box 23" hidden="1">
              <a:extLst>
                <a:ext uri="{63B3BB69-23CF-44E3-9099-C40C66FF867C}">
                  <a14:compatExt spid="_x0000_s102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47625</xdr:rowOff>
        </xdr:from>
        <xdr:to>
          <xdr:col>20</xdr:col>
          <xdr:colOff>200025</xdr:colOff>
          <xdr:row>36</xdr:row>
          <xdr:rowOff>257175</xdr:rowOff>
        </xdr:to>
        <xdr:sp macro="" textlink="">
          <xdr:nvSpPr>
            <xdr:cNvPr id="102424" name="Check Box 24" hidden="1">
              <a:extLst>
                <a:ext uri="{63B3BB69-23CF-44E3-9099-C40C66FF867C}">
                  <a14:compatExt spid="_x0000_s102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47625</xdr:rowOff>
        </xdr:from>
        <xdr:to>
          <xdr:col>14</xdr:col>
          <xdr:colOff>200025</xdr:colOff>
          <xdr:row>11</xdr:row>
          <xdr:rowOff>257175</xdr:rowOff>
        </xdr:to>
        <xdr:sp macro="" textlink="">
          <xdr:nvSpPr>
            <xdr:cNvPr id="102433" name="Check Box 33" hidden="1">
              <a:extLst>
                <a:ext uri="{63B3BB69-23CF-44E3-9099-C40C66FF867C}">
                  <a14:compatExt spid="_x0000_s102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47625</xdr:rowOff>
        </xdr:from>
        <xdr:to>
          <xdr:col>14</xdr:col>
          <xdr:colOff>200025</xdr:colOff>
          <xdr:row>12</xdr:row>
          <xdr:rowOff>257175</xdr:rowOff>
        </xdr:to>
        <xdr:sp macro="" textlink="">
          <xdr:nvSpPr>
            <xdr:cNvPr id="102435" name="Check Box 35" hidden="1">
              <a:extLst>
                <a:ext uri="{63B3BB69-23CF-44E3-9099-C40C66FF867C}">
                  <a14:compatExt spid="_x0000_s102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33</xdr:row>
          <xdr:rowOff>47625</xdr:rowOff>
        </xdr:from>
        <xdr:to>
          <xdr:col>20</xdr:col>
          <xdr:colOff>200025</xdr:colOff>
          <xdr:row>33</xdr:row>
          <xdr:rowOff>257175</xdr:rowOff>
        </xdr:to>
        <xdr:sp macro="" textlink="">
          <xdr:nvSpPr>
            <xdr:cNvPr id="102436" name="Check Box 36" hidden="1">
              <a:extLst>
                <a:ext uri="{63B3BB69-23CF-44E3-9099-C40C66FF867C}">
                  <a14:compatExt spid="_x0000_s102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47625</xdr:rowOff>
        </xdr:from>
        <xdr:to>
          <xdr:col>20</xdr:col>
          <xdr:colOff>200025</xdr:colOff>
          <xdr:row>34</xdr:row>
          <xdr:rowOff>257175</xdr:rowOff>
        </xdr:to>
        <xdr:sp macro="" textlink="">
          <xdr:nvSpPr>
            <xdr:cNvPr id="102437" name="Check Box 37" hidden="1">
              <a:extLst>
                <a:ext uri="{63B3BB69-23CF-44E3-9099-C40C66FF867C}">
                  <a14:compatExt spid="_x0000_s102437"/>
                </a:ext>
              </a:extLst>
            </xdr:cNvPr>
            <xdr:cNvSpPr/>
          </xdr:nvSpPr>
          <xdr:spPr>
            <a:xfrm>
              <a:off x="0" y="0"/>
              <a:ext cx="0" cy="0"/>
            </a:xfrm>
            <a:prstGeom prst="rect">
              <a:avLst/>
            </a:prstGeom>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xdr:col>
      <xdr:colOff>95250</xdr:colOff>
      <xdr:row>22</xdr:row>
      <xdr:rowOff>266700</xdr:rowOff>
    </xdr:from>
    <xdr:to>
      <xdr:col>7</xdr:col>
      <xdr:colOff>228600</xdr:colOff>
      <xdr:row>36</xdr:row>
      <xdr:rowOff>9525</xdr:rowOff>
    </xdr:to>
    <xdr:grpSp>
      <xdr:nvGrpSpPr>
        <xdr:cNvPr id="104556" name="グループ化 2">
          <a:extLst>
            <a:ext uri="{FF2B5EF4-FFF2-40B4-BE49-F238E27FC236}">
              <a16:creationId xmlns="" xmlns:a16="http://schemas.microsoft.com/office/drawing/2014/main" id="{00000000-0008-0000-0900-00006C980100}"/>
            </a:ext>
          </a:extLst>
        </xdr:cNvPr>
        <xdr:cNvGrpSpPr>
          <a:grpSpLocks/>
        </xdr:cNvGrpSpPr>
      </xdr:nvGrpSpPr>
      <xdr:grpSpPr bwMode="auto">
        <a:xfrm>
          <a:off x="457200" y="6105525"/>
          <a:ext cx="1609725" cy="3457575"/>
          <a:chOff x="381000" y="5495925"/>
          <a:chExt cx="1609725" cy="2628900"/>
        </a:xfrm>
      </xdr:grpSpPr>
      <xdr:pic>
        <xdr:nvPicPr>
          <xdr:cNvPr id="104558" name="Picture 1">
            <a:extLst>
              <a:ext uri="{FF2B5EF4-FFF2-40B4-BE49-F238E27FC236}">
                <a16:creationId xmlns="" xmlns:a16="http://schemas.microsoft.com/office/drawing/2014/main" id="{00000000-0008-0000-0900-00006E98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a:extLst>
              <a:ext uri="{FF2B5EF4-FFF2-40B4-BE49-F238E27FC236}">
                <a16:creationId xmlns="" xmlns:a16="http://schemas.microsoft.com/office/drawing/2014/main" id="{00000000-0008-0000-0900-000005000000}"/>
              </a:ext>
            </a:extLst>
          </xdr:cNvPr>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32</xdr:col>
      <xdr:colOff>771525</xdr:colOff>
      <xdr:row>29</xdr:row>
      <xdr:rowOff>238125</xdr:rowOff>
    </xdr:from>
    <xdr:to>
      <xdr:col>52</xdr:col>
      <xdr:colOff>622566</xdr:colOff>
      <xdr:row>39</xdr:row>
      <xdr:rowOff>77561</xdr:rowOff>
    </xdr:to>
    <xdr:pic>
      <xdr:nvPicPr>
        <xdr:cNvPr id="104557" name="図 5">
          <a:extLst>
            <a:ext uri="{FF2B5EF4-FFF2-40B4-BE49-F238E27FC236}">
              <a16:creationId xmlns="" xmlns:a16="http://schemas.microsoft.com/office/drawing/2014/main" id="{00000000-0008-0000-0900-00006D98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670846" y="7885339"/>
          <a:ext cx="5380264" cy="2411186"/>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190500</xdr:colOff>
          <xdr:row>7</xdr:row>
          <xdr:rowOff>47625</xdr:rowOff>
        </xdr:from>
        <xdr:to>
          <xdr:col>14</xdr:col>
          <xdr:colOff>200025</xdr:colOff>
          <xdr:row>7</xdr:row>
          <xdr:rowOff>257175</xdr:rowOff>
        </xdr:to>
        <xdr:sp macro="" textlink="">
          <xdr:nvSpPr>
            <xdr:cNvPr id="104449" name="Check Box 1" hidden="1">
              <a:extLst>
                <a:ext uri="{63B3BB69-23CF-44E3-9099-C40C66FF867C}">
                  <a14:compatExt spid="_x0000_s104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47625</xdr:rowOff>
        </xdr:from>
        <xdr:to>
          <xdr:col>14</xdr:col>
          <xdr:colOff>200025</xdr:colOff>
          <xdr:row>8</xdr:row>
          <xdr:rowOff>257175</xdr:rowOff>
        </xdr:to>
        <xdr:sp macro="" textlink="">
          <xdr:nvSpPr>
            <xdr:cNvPr id="104450" name="Check Box 2" hidden="1">
              <a:extLst>
                <a:ext uri="{63B3BB69-23CF-44E3-9099-C40C66FF867C}">
                  <a14:compatExt spid="_x0000_s104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47625</xdr:rowOff>
        </xdr:from>
        <xdr:to>
          <xdr:col>14</xdr:col>
          <xdr:colOff>200025</xdr:colOff>
          <xdr:row>14</xdr:row>
          <xdr:rowOff>257175</xdr:rowOff>
        </xdr:to>
        <xdr:sp macro="" textlink="">
          <xdr:nvSpPr>
            <xdr:cNvPr id="104451" name="Check Box 3" hidden="1">
              <a:extLst>
                <a:ext uri="{63B3BB69-23CF-44E3-9099-C40C66FF867C}">
                  <a14:compatExt spid="_x0000_s104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47625</xdr:rowOff>
        </xdr:from>
        <xdr:to>
          <xdr:col>14</xdr:col>
          <xdr:colOff>200025</xdr:colOff>
          <xdr:row>15</xdr:row>
          <xdr:rowOff>257175</xdr:rowOff>
        </xdr:to>
        <xdr:sp macro="" textlink="">
          <xdr:nvSpPr>
            <xdr:cNvPr id="104452" name="Check Box 4" hidden="1">
              <a:extLst>
                <a:ext uri="{63B3BB69-23CF-44E3-9099-C40C66FF867C}">
                  <a14:compatExt spid="_x0000_s104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47625</xdr:rowOff>
        </xdr:from>
        <xdr:to>
          <xdr:col>14</xdr:col>
          <xdr:colOff>200025</xdr:colOff>
          <xdr:row>16</xdr:row>
          <xdr:rowOff>257175</xdr:rowOff>
        </xdr:to>
        <xdr:sp macro="" textlink="">
          <xdr:nvSpPr>
            <xdr:cNvPr id="104453" name="Check Box 5" hidden="1">
              <a:extLst>
                <a:ext uri="{63B3BB69-23CF-44E3-9099-C40C66FF867C}">
                  <a14:compatExt spid="_x0000_s104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47625</xdr:rowOff>
        </xdr:from>
        <xdr:to>
          <xdr:col>14</xdr:col>
          <xdr:colOff>200025</xdr:colOff>
          <xdr:row>17</xdr:row>
          <xdr:rowOff>257175</xdr:rowOff>
        </xdr:to>
        <xdr:sp macro="" textlink="">
          <xdr:nvSpPr>
            <xdr:cNvPr id="104454" name="Check Box 6" hidden="1">
              <a:extLst>
                <a:ext uri="{63B3BB69-23CF-44E3-9099-C40C66FF867C}">
                  <a14:compatExt spid="_x0000_s104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47625</xdr:rowOff>
        </xdr:from>
        <xdr:to>
          <xdr:col>14</xdr:col>
          <xdr:colOff>200025</xdr:colOff>
          <xdr:row>18</xdr:row>
          <xdr:rowOff>257175</xdr:rowOff>
        </xdr:to>
        <xdr:sp macro="" textlink="">
          <xdr:nvSpPr>
            <xdr:cNvPr id="104455" name="Check Box 7" hidden="1">
              <a:extLst>
                <a:ext uri="{63B3BB69-23CF-44E3-9099-C40C66FF867C}">
                  <a14:compatExt spid="_x0000_s104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47625</xdr:rowOff>
        </xdr:from>
        <xdr:to>
          <xdr:col>14</xdr:col>
          <xdr:colOff>200025</xdr:colOff>
          <xdr:row>9</xdr:row>
          <xdr:rowOff>257175</xdr:rowOff>
        </xdr:to>
        <xdr:sp macro="" textlink="">
          <xdr:nvSpPr>
            <xdr:cNvPr id="104456" name="Check Box 8" hidden="1">
              <a:extLst>
                <a:ext uri="{63B3BB69-23CF-44E3-9099-C40C66FF867C}">
                  <a14:compatExt spid="_x0000_s104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47625</xdr:rowOff>
        </xdr:from>
        <xdr:to>
          <xdr:col>14</xdr:col>
          <xdr:colOff>200025</xdr:colOff>
          <xdr:row>10</xdr:row>
          <xdr:rowOff>257175</xdr:rowOff>
        </xdr:to>
        <xdr:sp macro="" textlink="">
          <xdr:nvSpPr>
            <xdr:cNvPr id="104457" name="Check Box 9" hidden="1">
              <a:extLst>
                <a:ext uri="{63B3BB69-23CF-44E3-9099-C40C66FF867C}">
                  <a14:compatExt spid="_x0000_s104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47625</xdr:rowOff>
        </xdr:from>
        <xdr:to>
          <xdr:col>14</xdr:col>
          <xdr:colOff>200025</xdr:colOff>
          <xdr:row>13</xdr:row>
          <xdr:rowOff>257175</xdr:rowOff>
        </xdr:to>
        <xdr:sp macro="" textlink="">
          <xdr:nvSpPr>
            <xdr:cNvPr id="104458" name="Check Box 10" hidden="1">
              <a:extLst>
                <a:ext uri="{63B3BB69-23CF-44E3-9099-C40C66FF867C}">
                  <a14:compatExt spid="_x0000_s104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32</xdr:row>
          <xdr:rowOff>47625</xdr:rowOff>
        </xdr:from>
        <xdr:to>
          <xdr:col>20</xdr:col>
          <xdr:colOff>200025</xdr:colOff>
          <xdr:row>32</xdr:row>
          <xdr:rowOff>257175</xdr:rowOff>
        </xdr:to>
        <xdr:sp macro="" textlink="">
          <xdr:nvSpPr>
            <xdr:cNvPr id="104470" name="Check Box 22" hidden="1">
              <a:extLst>
                <a:ext uri="{63B3BB69-23CF-44E3-9099-C40C66FF867C}">
                  <a14:compatExt spid="_x0000_s104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47625</xdr:rowOff>
        </xdr:from>
        <xdr:to>
          <xdr:col>20</xdr:col>
          <xdr:colOff>200025</xdr:colOff>
          <xdr:row>35</xdr:row>
          <xdr:rowOff>257175</xdr:rowOff>
        </xdr:to>
        <xdr:sp macro="" textlink="">
          <xdr:nvSpPr>
            <xdr:cNvPr id="104471" name="Check Box 23" hidden="1">
              <a:extLst>
                <a:ext uri="{63B3BB69-23CF-44E3-9099-C40C66FF867C}">
                  <a14:compatExt spid="_x0000_s104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47625</xdr:rowOff>
        </xdr:from>
        <xdr:to>
          <xdr:col>20</xdr:col>
          <xdr:colOff>200025</xdr:colOff>
          <xdr:row>36</xdr:row>
          <xdr:rowOff>257175</xdr:rowOff>
        </xdr:to>
        <xdr:sp macro="" textlink="">
          <xdr:nvSpPr>
            <xdr:cNvPr id="104472" name="Check Box 24" hidden="1">
              <a:extLst>
                <a:ext uri="{63B3BB69-23CF-44E3-9099-C40C66FF867C}">
                  <a14:compatExt spid="_x0000_s104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47625</xdr:rowOff>
        </xdr:from>
        <xdr:to>
          <xdr:col>14</xdr:col>
          <xdr:colOff>200025</xdr:colOff>
          <xdr:row>11</xdr:row>
          <xdr:rowOff>257175</xdr:rowOff>
        </xdr:to>
        <xdr:sp macro="" textlink="">
          <xdr:nvSpPr>
            <xdr:cNvPr id="104481" name="Check Box 33" hidden="1">
              <a:extLst>
                <a:ext uri="{63B3BB69-23CF-44E3-9099-C40C66FF867C}">
                  <a14:compatExt spid="_x0000_s104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47625</xdr:rowOff>
        </xdr:from>
        <xdr:to>
          <xdr:col>14</xdr:col>
          <xdr:colOff>200025</xdr:colOff>
          <xdr:row>12</xdr:row>
          <xdr:rowOff>257175</xdr:rowOff>
        </xdr:to>
        <xdr:sp macro="" textlink="">
          <xdr:nvSpPr>
            <xdr:cNvPr id="104482" name="Check Box 34" hidden="1">
              <a:extLst>
                <a:ext uri="{63B3BB69-23CF-44E3-9099-C40C66FF867C}">
                  <a14:compatExt spid="_x0000_s104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33</xdr:row>
          <xdr:rowOff>47625</xdr:rowOff>
        </xdr:from>
        <xdr:to>
          <xdr:col>20</xdr:col>
          <xdr:colOff>200025</xdr:colOff>
          <xdr:row>33</xdr:row>
          <xdr:rowOff>257175</xdr:rowOff>
        </xdr:to>
        <xdr:sp macro="" textlink="">
          <xdr:nvSpPr>
            <xdr:cNvPr id="104484" name="Check Box 36" hidden="1">
              <a:extLst>
                <a:ext uri="{63B3BB69-23CF-44E3-9099-C40C66FF867C}">
                  <a14:compatExt spid="_x0000_s104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47625</xdr:rowOff>
        </xdr:from>
        <xdr:to>
          <xdr:col>20</xdr:col>
          <xdr:colOff>200025</xdr:colOff>
          <xdr:row>34</xdr:row>
          <xdr:rowOff>257175</xdr:rowOff>
        </xdr:to>
        <xdr:sp macro="" textlink="">
          <xdr:nvSpPr>
            <xdr:cNvPr id="104485" name="Check Box 37" hidden="1">
              <a:extLst>
                <a:ext uri="{63B3BB69-23CF-44E3-9099-C40C66FF867C}">
                  <a14:compatExt spid="_x0000_s10448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22.xml"/><Relationship Id="rId13" Type="http://schemas.openxmlformats.org/officeDocument/2006/relationships/ctrlProp" Target="../ctrlProps/ctrlProp127.xml"/><Relationship Id="rId18" Type="http://schemas.openxmlformats.org/officeDocument/2006/relationships/ctrlProp" Target="../ctrlProps/ctrlProp132.xml"/><Relationship Id="rId3" Type="http://schemas.openxmlformats.org/officeDocument/2006/relationships/vmlDrawing" Target="../drawings/vmlDrawing9.vml"/><Relationship Id="rId21" Type="http://schemas.openxmlformats.org/officeDocument/2006/relationships/comments" Target="../comments8.xml"/><Relationship Id="rId7" Type="http://schemas.openxmlformats.org/officeDocument/2006/relationships/ctrlProp" Target="../ctrlProps/ctrlProp121.xml"/><Relationship Id="rId12" Type="http://schemas.openxmlformats.org/officeDocument/2006/relationships/ctrlProp" Target="../ctrlProps/ctrlProp126.xml"/><Relationship Id="rId17" Type="http://schemas.openxmlformats.org/officeDocument/2006/relationships/ctrlProp" Target="../ctrlProps/ctrlProp131.xml"/><Relationship Id="rId2" Type="http://schemas.openxmlformats.org/officeDocument/2006/relationships/drawing" Target="../drawings/drawing8.xml"/><Relationship Id="rId16" Type="http://schemas.openxmlformats.org/officeDocument/2006/relationships/ctrlProp" Target="../ctrlProps/ctrlProp130.xml"/><Relationship Id="rId20" Type="http://schemas.openxmlformats.org/officeDocument/2006/relationships/ctrlProp" Target="../ctrlProps/ctrlProp134.xml"/><Relationship Id="rId1" Type="http://schemas.openxmlformats.org/officeDocument/2006/relationships/printerSettings" Target="../printerSettings/printerSettings10.bin"/><Relationship Id="rId6" Type="http://schemas.openxmlformats.org/officeDocument/2006/relationships/ctrlProp" Target="../ctrlProps/ctrlProp120.xml"/><Relationship Id="rId11" Type="http://schemas.openxmlformats.org/officeDocument/2006/relationships/ctrlProp" Target="../ctrlProps/ctrlProp125.xml"/><Relationship Id="rId5" Type="http://schemas.openxmlformats.org/officeDocument/2006/relationships/ctrlProp" Target="../ctrlProps/ctrlProp119.xml"/><Relationship Id="rId15" Type="http://schemas.openxmlformats.org/officeDocument/2006/relationships/ctrlProp" Target="../ctrlProps/ctrlProp129.xml"/><Relationship Id="rId10" Type="http://schemas.openxmlformats.org/officeDocument/2006/relationships/ctrlProp" Target="../ctrlProps/ctrlProp124.xml"/><Relationship Id="rId19" Type="http://schemas.openxmlformats.org/officeDocument/2006/relationships/ctrlProp" Target="../ctrlProps/ctrlProp133.xml"/><Relationship Id="rId4" Type="http://schemas.openxmlformats.org/officeDocument/2006/relationships/ctrlProp" Target="../ctrlProps/ctrlProp118.xml"/><Relationship Id="rId9" Type="http://schemas.openxmlformats.org/officeDocument/2006/relationships/ctrlProp" Target="../ctrlProps/ctrlProp123.xml"/><Relationship Id="rId14" Type="http://schemas.openxmlformats.org/officeDocument/2006/relationships/ctrlProp" Target="../ctrlProps/ctrlProp12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39.xml"/><Relationship Id="rId13" Type="http://schemas.openxmlformats.org/officeDocument/2006/relationships/ctrlProp" Target="../ctrlProps/ctrlProp144.xml"/><Relationship Id="rId18" Type="http://schemas.openxmlformats.org/officeDocument/2006/relationships/ctrlProp" Target="../ctrlProps/ctrlProp149.xml"/><Relationship Id="rId3" Type="http://schemas.openxmlformats.org/officeDocument/2006/relationships/vmlDrawing" Target="../drawings/vmlDrawing10.vml"/><Relationship Id="rId21" Type="http://schemas.openxmlformats.org/officeDocument/2006/relationships/comments" Target="../comments9.xml"/><Relationship Id="rId7" Type="http://schemas.openxmlformats.org/officeDocument/2006/relationships/ctrlProp" Target="../ctrlProps/ctrlProp138.xml"/><Relationship Id="rId12" Type="http://schemas.openxmlformats.org/officeDocument/2006/relationships/ctrlProp" Target="../ctrlProps/ctrlProp143.xml"/><Relationship Id="rId17" Type="http://schemas.openxmlformats.org/officeDocument/2006/relationships/ctrlProp" Target="../ctrlProps/ctrlProp148.xml"/><Relationship Id="rId2" Type="http://schemas.openxmlformats.org/officeDocument/2006/relationships/drawing" Target="../drawings/drawing9.xml"/><Relationship Id="rId16" Type="http://schemas.openxmlformats.org/officeDocument/2006/relationships/ctrlProp" Target="../ctrlProps/ctrlProp147.xml"/><Relationship Id="rId20" Type="http://schemas.openxmlformats.org/officeDocument/2006/relationships/ctrlProp" Target="../ctrlProps/ctrlProp151.xml"/><Relationship Id="rId1" Type="http://schemas.openxmlformats.org/officeDocument/2006/relationships/printerSettings" Target="../printerSettings/printerSettings11.bin"/><Relationship Id="rId6" Type="http://schemas.openxmlformats.org/officeDocument/2006/relationships/ctrlProp" Target="../ctrlProps/ctrlProp137.xml"/><Relationship Id="rId11" Type="http://schemas.openxmlformats.org/officeDocument/2006/relationships/ctrlProp" Target="../ctrlProps/ctrlProp142.xml"/><Relationship Id="rId5" Type="http://schemas.openxmlformats.org/officeDocument/2006/relationships/ctrlProp" Target="../ctrlProps/ctrlProp136.xml"/><Relationship Id="rId15" Type="http://schemas.openxmlformats.org/officeDocument/2006/relationships/ctrlProp" Target="../ctrlProps/ctrlProp146.xml"/><Relationship Id="rId10" Type="http://schemas.openxmlformats.org/officeDocument/2006/relationships/ctrlProp" Target="../ctrlProps/ctrlProp141.xml"/><Relationship Id="rId19" Type="http://schemas.openxmlformats.org/officeDocument/2006/relationships/ctrlProp" Target="../ctrlProps/ctrlProp150.xml"/><Relationship Id="rId4" Type="http://schemas.openxmlformats.org/officeDocument/2006/relationships/ctrlProp" Target="../ctrlProps/ctrlProp135.xml"/><Relationship Id="rId9" Type="http://schemas.openxmlformats.org/officeDocument/2006/relationships/ctrlProp" Target="../ctrlProps/ctrlProp140.xml"/><Relationship Id="rId14" Type="http://schemas.openxmlformats.org/officeDocument/2006/relationships/ctrlProp" Target="../ctrlProps/ctrlProp145.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3" Type="http://schemas.openxmlformats.org/officeDocument/2006/relationships/vmlDrawing" Target="../drawings/vmlDrawing3.vml"/><Relationship Id="rId21" Type="http://schemas.openxmlformats.org/officeDocument/2006/relationships/comments" Target="../comments2.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printerSettings" Target="../printerSettings/printerSettings4.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5" Type="http://schemas.openxmlformats.org/officeDocument/2006/relationships/ctrlProp" Target="../ctrlProps/ctrlProp15.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4.vml"/><Relationship Id="rId21" Type="http://schemas.openxmlformats.org/officeDocument/2006/relationships/comments" Target="../comments3.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3.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5.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2.xml"/><Relationship Id="rId13" Type="http://schemas.openxmlformats.org/officeDocument/2006/relationships/ctrlProp" Target="../ctrlProps/ctrlProp47.xml"/><Relationship Id="rId18" Type="http://schemas.openxmlformats.org/officeDocument/2006/relationships/ctrlProp" Target="../ctrlProps/ctrlProp52.xml"/><Relationship Id="rId3" Type="http://schemas.openxmlformats.org/officeDocument/2006/relationships/vmlDrawing" Target="../drawings/vmlDrawing5.vml"/><Relationship Id="rId21" Type="http://schemas.openxmlformats.org/officeDocument/2006/relationships/comments" Target="../comments4.xml"/><Relationship Id="rId7" Type="http://schemas.openxmlformats.org/officeDocument/2006/relationships/ctrlProp" Target="../ctrlProps/ctrlProp41.xml"/><Relationship Id="rId12" Type="http://schemas.openxmlformats.org/officeDocument/2006/relationships/ctrlProp" Target="../ctrlProps/ctrlProp46.xml"/><Relationship Id="rId17" Type="http://schemas.openxmlformats.org/officeDocument/2006/relationships/ctrlProp" Target="../ctrlProps/ctrlProp51.xml"/><Relationship Id="rId2" Type="http://schemas.openxmlformats.org/officeDocument/2006/relationships/drawing" Target="../drawings/drawing4.xml"/><Relationship Id="rId16" Type="http://schemas.openxmlformats.org/officeDocument/2006/relationships/ctrlProp" Target="../ctrlProps/ctrlProp50.xml"/><Relationship Id="rId20" Type="http://schemas.openxmlformats.org/officeDocument/2006/relationships/ctrlProp" Target="../ctrlProps/ctrlProp54.xml"/><Relationship Id="rId1" Type="http://schemas.openxmlformats.org/officeDocument/2006/relationships/printerSettings" Target="../printerSettings/printerSettings6.bin"/><Relationship Id="rId6" Type="http://schemas.openxmlformats.org/officeDocument/2006/relationships/ctrlProp" Target="../ctrlProps/ctrlProp40.xml"/><Relationship Id="rId11" Type="http://schemas.openxmlformats.org/officeDocument/2006/relationships/ctrlProp" Target="../ctrlProps/ctrlProp45.xml"/><Relationship Id="rId5" Type="http://schemas.openxmlformats.org/officeDocument/2006/relationships/ctrlProp" Target="../ctrlProps/ctrlProp39.xml"/><Relationship Id="rId15" Type="http://schemas.openxmlformats.org/officeDocument/2006/relationships/ctrlProp" Target="../ctrlProps/ctrlProp49.xml"/><Relationship Id="rId10" Type="http://schemas.openxmlformats.org/officeDocument/2006/relationships/ctrlProp" Target="../ctrlProps/ctrlProp44.xml"/><Relationship Id="rId19" Type="http://schemas.openxmlformats.org/officeDocument/2006/relationships/ctrlProp" Target="../ctrlProps/ctrlProp53.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18" Type="http://schemas.openxmlformats.org/officeDocument/2006/relationships/ctrlProp" Target="../ctrlProps/ctrlProp69.xml"/><Relationship Id="rId26" Type="http://schemas.openxmlformats.org/officeDocument/2006/relationships/ctrlProp" Target="../ctrlProps/ctrlProp77.xml"/><Relationship Id="rId3" Type="http://schemas.openxmlformats.org/officeDocument/2006/relationships/vmlDrawing" Target="../drawings/vmlDrawing6.vml"/><Relationship Id="rId21" Type="http://schemas.openxmlformats.org/officeDocument/2006/relationships/ctrlProp" Target="../ctrlProps/ctrlProp72.xml"/><Relationship Id="rId7" Type="http://schemas.openxmlformats.org/officeDocument/2006/relationships/ctrlProp" Target="../ctrlProps/ctrlProp58.xml"/><Relationship Id="rId12" Type="http://schemas.openxmlformats.org/officeDocument/2006/relationships/ctrlProp" Target="../ctrlProps/ctrlProp63.xml"/><Relationship Id="rId17" Type="http://schemas.openxmlformats.org/officeDocument/2006/relationships/ctrlProp" Target="../ctrlProps/ctrlProp68.xml"/><Relationship Id="rId25" Type="http://schemas.openxmlformats.org/officeDocument/2006/relationships/ctrlProp" Target="../ctrlProps/ctrlProp76.xml"/><Relationship Id="rId33" Type="http://schemas.openxmlformats.org/officeDocument/2006/relationships/comments" Target="../comments5.xml"/><Relationship Id="rId2" Type="http://schemas.openxmlformats.org/officeDocument/2006/relationships/drawing" Target="../drawings/drawing5.xml"/><Relationship Id="rId16" Type="http://schemas.openxmlformats.org/officeDocument/2006/relationships/ctrlProp" Target="../ctrlProps/ctrlProp67.xml"/><Relationship Id="rId20" Type="http://schemas.openxmlformats.org/officeDocument/2006/relationships/ctrlProp" Target="../ctrlProps/ctrlProp71.xml"/><Relationship Id="rId29" Type="http://schemas.openxmlformats.org/officeDocument/2006/relationships/ctrlProp" Target="../ctrlProps/ctrlProp80.xml"/><Relationship Id="rId1" Type="http://schemas.openxmlformats.org/officeDocument/2006/relationships/printerSettings" Target="../printerSettings/printerSettings7.bin"/><Relationship Id="rId6" Type="http://schemas.openxmlformats.org/officeDocument/2006/relationships/ctrlProp" Target="../ctrlProps/ctrlProp57.xml"/><Relationship Id="rId11" Type="http://schemas.openxmlformats.org/officeDocument/2006/relationships/ctrlProp" Target="../ctrlProps/ctrlProp62.xml"/><Relationship Id="rId24" Type="http://schemas.openxmlformats.org/officeDocument/2006/relationships/ctrlProp" Target="../ctrlProps/ctrlProp75.xml"/><Relationship Id="rId32" Type="http://schemas.openxmlformats.org/officeDocument/2006/relationships/ctrlProp" Target="../ctrlProps/ctrlProp83.xml"/><Relationship Id="rId5" Type="http://schemas.openxmlformats.org/officeDocument/2006/relationships/ctrlProp" Target="../ctrlProps/ctrlProp56.xml"/><Relationship Id="rId15" Type="http://schemas.openxmlformats.org/officeDocument/2006/relationships/ctrlProp" Target="../ctrlProps/ctrlProp66.xml"/><Relationship Id="rId23" Type="http://schemas.openxmlformats.org/officeDocument/2006/relationships/ctrlProp" Target="../ctrlProps/ctrlProp74.xml"/><Relationship Id="rId28" Type="http://schemas.openxmlformats.org/officeDocument/2006/relationships/ctrlProp" Target="../ctrlProps/ctrlProp79.xml"/><Relationship Id="rId10" Type="http://schemas.openxmlformats.org/officeDocument/2006/relationships/ctrlProp" Target="../ctrlProps/ctrlProp61.xml"/><Relationship Id="rId19" Type="http://schemas.openxmlformats.org/officeDocument/2006/relationships/ctrlProp" Target="../ctrlProps/ctrlProp70.xml"/><Relationship Id="rId31" Type="http://schemas.openxmlformats.org/officeDocument/2006/relationships/ctrlProp" Target="../ctrlProps/ctrlProp82.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 Id="rId22" Type="http://schemas.openxmlformats.org/officeDocument/2006/relationships/ctrlProp" Target="../ctrlProps/ctrlProp73.xml"/><Relationship Id="rId27" Type="http://schemas.openxmlformats.org/officeDocument/2006/relationships/ctrlProp" Target="../ctrlProps/ctrlProp78.xml"/><Relationship Id="rId30" Type="http://schemas.openxmlformats.org/officeDocument/2006/relationships/ctrlProp" Target="../ctrlProps/ctrlProp8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88.xml"/><Relationship Id="rId13" Type="http://schemas.openxmlformats.org/officeDocument/2006/relationships/ctrlProp" Target="../ctrlProps/ctrlProp93.xml"/><Relationship Id="rId18" Type="http://schemas.openxmlformats.org/officeDocument/2006/relationships/ctrlProp" Target="../ctrlProps/ctrlProp98.xml"/><Relationship Id="rId3" Type="http://schemas.openxmlformats.org/officeDocument/2006/relationships/vmlDrawing" Target="../drawings/vmlDrawing7.vml"/><Relationship Id="rId21" Type="http://schemas.openxmlformats.org/officeDocument/2006/relationships/comments" Target="../comments6.xml"/><Relationship Id="rId7" Type="http://schemas.openxmlformats.org/officeDocument/2006/relationships/ctrlProp" Target="../ctrlProps/ctrlProp87.xml"/><Relationship Id="rId12" Type="http://schemas.openxmlformats.org/officeDocument/2006/relationships/ctrlProp" Target="../ctrlProps/ctrlProp92.xml"/><Relationship Id="rId17" Type="http://schemas.openxmlformats.org/officeDocument/2006/relationships/ctrlProp" Target="../ctrlProps/ctrlProp97.xml"/><Relationship Id="rId2" Type="http://schemas.openxmlformats.org/officeDocument/2006/relationships/drawing" Target="../drawings/drawing6.xml"/><Relationship Id="rId16" Type="http://schemas.openxmlformats.org/officeDocument/2006/relationships/ctrlProp" Target="../ctrlProps/ctrlProp96.xml"/><Relationship Id="rId20" Type="http://schemas.openxmlformats.org/officeDocument/2006/relationships/ctrlProp" Target="../ctrlProps/ctrlProp100.xml"/><Relationship Id="rId1" Type="http://schemas.openxmlformats.org/officeDocument/2006/relationships/printerSettings" Target="../printerSettings/printerSettings8.bin"/><Relationship Id="rId6" Type="http://schemas.openxmlformats.org/officeDocument/2006/relationships/ctrlProp" Target="../ctrlProps/ctrlProp86.xml"/><Relationship Id="rId11" Type="http://schemas.openxmlformats.org/officeDocument/2006/relationships/ctrlProp" Target="../ctrlProps/ctrlProp91.xml"/><Relationship Id="rId5" Type="http://schemas.openxmlformats.org/officeDocument/2006/relationships/ctrlProp" Target="../ctrlProps/ctrlProp85.xml"/><Relationship Id="rId15" Type="http://schemas.openxmlformats.org/officeDocument/2006/relationships/ctrlProp" Target="../ctrlProps/ctrlProp95.xml"/><Relationship Id="rId10" Type="http://schemas.openxmlformats.org/officeDocument/2006/relationships/ctrlProp" Target="../ctrlProps/ctrlProp90.xml"/><Relationship Id="rId19" Type="http://schemas.openxmlformats.org/officeDocument/2006/relationships/ctrlProp" Target="../ctrlProps/ctrlProp99.xml"/><Relationship Id="rId4" Type="http://schemas.openxmlformats.org/officeDocument/2006/relationships/ctrlProp" Target="../ctrlProps/ctrlProp84.xml"/><Relationship Id="rId9" Type="http://schemas.openxmlformats.org/officeDocument/2006/relationships/ctrlProp" Target="../ctrlProps/ctrlProp89.xml"/><Relationship Id="rId14" Type="http://schemas.openxmlformats.org/officeDocument/2006/relationships/ctrlProp" Target="../ctrlProps/ctrlProp94.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05.xml"/><Relationship Id="rId13" Type="http://schemas.openxmlformats.org/officeDocument/2006/relationships/ctrlProp" Target="../ctrlProps/ctrlProp110.xml"/><Relationship Id="rId18" Type="http://schemas.openxmlformats.org/officeDocument/2006/relationships/ctrlProp" Target="../ctrlProps/ctrlProp115.xml"/><Relationship Id="rId3" Type="http://schemas.openxmlformats.org/officeDocument/2006/relationships/vmlDrawing" Target="../drawings/vmlDrawing8.vml"/><Relationship Id="rId21" Type="http://schemas.openxmlformats.org/officeDocument/2006/relationships/comments" Target="../comments7.xml"/><Relationship Id="rId7" Type="http://schemas.openxmlformats.org/officeDocument/2006/relationships/ctrlProp" Target="../ctrlProps/ctrlProp104.xml"/><Relationship Id="rId12" Type="http://schemas.openxmlformats.org/officeDocument/2006/relationships/ctrlProp" Target="../ctrlProps/ctrlProp109.xml"/><Relationship Id="rId17" Type="http://schemas.openxmlformats.org/officeDocument/2006/relationships/ctrlProp" Target="../ctrlProps/ctrlProp114.xml"/><Relationship Id="rId2" Type="http://schemas.openxmlformats.org/officeDocument/2006/relationships/drawing" Target="../drawings/drawing7.xml"/><Relationship Id="rId16" Type="http://schemas.openxmlformats.org/officeDocument/2006/relationships/ctrlProp" Target="../ctrlProps/ctrlProp113.xml"/><Relationship Id="rId20" Type="http://schemas.openxmlformats.org/officeDocument/2006/relationships/ctrlProp" Target="../ctrlProps/ctrlProp117.xml"/><Relationship Id="rId1" Type="http://schemas.openxmlformats.org/officeDocument/2006/relationships/printerSettings" Target="../printerSettings/printerSettings9.bin"/><Relationship Id="rId6" Type="http://schemas.openxmlformats.org/officeDocument/2006/relationships/ctrlProp" Target="../ctrlProps/ctrlProp103.xml"/><Relationship Id="rId11" Type="http://schemas.openxmlformats.org/officeDocument/2006/relationships/ctrlProp" Target="../ctrlProps/ctrlProp108.xml"/><Relationship Id="rId5" Type="http://schemas.openxmlformats.org/officeDocument/2006/relationships/ctrlProp" Target="../ctrlProps/ctrlProp102.xml"/><Relationship Id="rId15" Type="http://schemas.openxmlformats.org/officeDocument/2006/relationships/ctrlProp" Target="../ctrlProps/ctrlProp112.xml"/><Relationship Id="rId10" Type="http://schemas.openxmlformats.org/officeDocument/2006/relationships/ctrlProp" Target="../ctrlProps/ctrlProp107.xml"/><Relationship Id="rId19" Type="http://schemas.openxmlformats.org/officeDocument/2006/relationships/ctrlProp" Target="../ctrlProps/ctrlProp116.xml"/><Relationship Id="rId4" Type="http://schemas.openxmlformats.org/officeDocument/2006/relationships/ctrlProp" Target="../ctrlProps/ctrlProp101.xml"/><Relationship Id="rId9" Type="http://schemas.openxmlformats.org/officeDocument/2006/relationships/ctrlProp" Target="../ctrlProps/ctrlProp106.xml"/><Relationship Id="rId14" Type="http://schemas.openxmlformats.org/officeDocument/2006/relationships/ctrlProp" Target="../ctrlProps/ctrlProp1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8"/>
  <sheetViews>
    <sheetView showGridLines="0" view="pageBreakPreview" zoomScaleNormal="100" zoomScaleSheetLayoutView="100" workbookViewId="0">
      <selection activeCell="C1" sqref="C1"/>
    </sheetView>
  </sheetViews>
  <sheetFormatPr defaultRowHeight="13.5"/>
  <cols>
    <col min="1" max="1" width="4.75" style="85" customWidth="1"/>
    <col min="2" max="2" width="83.875" style="85" customWidth="1"/>
    <col min="3" max="3" width="9" style="85" customWidth="1"/>
    <col min="4" max="16384" width="9" style="85"/>
  </cols>
  <sheetData>
    <row r="1" spans="1:2" ht="25.5" customHeight="1">
      <c r="A1" s="215" t="s">
        <v>197</v>
      </c>
      <c r="B1" s="215"/>
    </row>
    <row r="3" spans="1:2" ht="40.5">
      <c r="A3" s="85" t="s">
        <v>198</v>
      </c>
      <c r="B3" s="86" t="s">
        <v>199</v>
      </c>
    </row>
    <row r="4" spans="1:2" ht="116.25" customHeight="1">
      <c r="A4" s="87" t="s">
        <v>200</v>
      </c>
      <c r="B4" s="86" t="s">
        <v>230</v>
      </c>
    </row>
    <row r="5" spans="1:2" ht="102">
      <c r="A5" s="87" t="s">
        <v>201</v>
      </c>
      <c r="B5" s="86" t="s">
        <v>202</v>
      </c>
    </row>
    <row r="6" spans="1:2" ht="51">
      <c r="A6" s="88" t="s">
        <v>205</v>
      </c>
      <c r="B6" s="89" t="s">
        <v>231</v>
      </c>
    </row>
    <row r="8" spans="1:2">
      <c r="A8" s="87" t="s">
        <v>232</v>
      </c>
      <c r="B8" s="85" t="s">
        <v>233</v>
      </c>
    </row>
  </sheetData>
  <sheetProtection algorithmName="SHA-512" hashValue="JyJGlNT6QGXK3ufrxanrLa5E7uL5NtNo/D5wt+0vm8ZrxqAeJrpUH2Qu+WZZYR9Pgn96RCd+AeBM0EoQHEDZDw==" saltValue="4th7msnWoXKUSGubTkXrdw==" spinCount="100000" sheet="1" objects="1" scenarios="1" selectLockedCells="1"/>
  <mergeCells count="1">
    <mergeCell ref="A1:B1"/>
  </mergeCells>
  <phoneticPr fontId="2"/>
  <pageMargins left="0.70866141732283472" right="0.70866141732283472" top="0.74803149606299213" bottom="0.74803149606299213" header="0.31496062992125984" footer="0.31496062992125984"/>
  <pageSetup paperSize="9" orientation="portrait" r:id="rId1"/>
  <headerFooter>
    <oddHeader>&amp;Rver. 1.7[H28]</oddHeader>
    <oddFooter>&amp;Cⓒ　2013 hyoukakyoukai.All right reserved</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B1:AO106"/>
  <sheetViews>
    <sheetView showGridLines="0" view="pageBreakPreview" zoomScaleNormal="100" zoomScaleSheetLayoutView="100" workbookViewId="0">
      <selection activeCell="R37" sqref="R37:S37"/>
    </sheetView>
  </sheetViews>
  <sheetFormatPr defaultRowHeight="13.5"/>
  <cols>
    <col min="1" max="1" width="0.875" style="52" customWidth="1"/>
    <col min="2" max="29" width="3.875" style="52" customWidth="1"/>
    <col min="30" max="31" width="10.625" style="52" hidden="1" customWidth="1"/>
    <col min="32" max="32" width="2.625" style="52" hidden="1" customWidth="1"/>
    <col min="33" max="35" width="10.625" style="52" hidden="1" customWidth="1"/>
    <col min="36" max="36" width="2.625" style="52" hidden="1" customWidth="1"/>
    <col min="37" max="38" width="15.625" style="52" hidden="1" customWidth="1"/>
    <col min="39" max="39" width="2.625" style="52" hidden="1" customWidth="1"/>
    <col min="40" max="41" width="10.625" style="52" hidden="1" customWidth="1"/>
    <col min="42" max="43" width="3.625" style="52" customWidth="1"/>
    <col min="44" max="49" width="4.625" style="52" customWidth="1"/>
    <col min="50" max="16384" width="9" style="52"/>
  </cols>
  <sheetData>
    <row r="1" spans="2:41" ht="3.95" customHeight="1"/>
    <row r="2" spans="2:41" s="36" customFormat="1" ht="30" customHeight="1">
      <c r="B2" s="447" t="s">
        <v>113</v>
      </c>
      <c r="C2" s="447"/>
      <c r="D2" s="447"/>
      <c r="E2" s="447"/>
      <c r="F2" s="447"/>
      <c r="G2" s="447"/>
      <c r="H2" s="447"/>
      <c r="I2" s="447"/>
      <c r="J2" s="447"/>
      <c r="K2" s="447"/>
      <c r="L2" s="447"/>
      <c r="M2" s="447"/>
      <c r="N2" s="447"/>
      <c r="O2" s="447"/>
      <c r="P2" s="447"/>
      <c r="Q2" s="447"/>
      <c r="R2" s="447"/>
      <c r="S2" s="447"/>
      <c r="T2" s="447"/>
      <c r="U2" s="447"/>
      <c r="V2" s="447"/>
      <c r="W2" s="447"/>
      <c r="X2" s="447"/>
      <c r="Y2" s="447"/>
      <c r="Z2" s="447"/>
      <c r="AA2" s="447"/>
    </row>
    <row r="3" spans="2:41" s="37" customFormat="1" ht="24.95" customHeight="1" thickBot="1"/>
    <row r="4" spans="2:41" s="37" customFormat="1" ht="21.95" customHeight="1" thickBot="1">
      <c r="B4" s="38" t="s">
        <v>5</v>
      </c>
      <c r="R4" s="448" t="s">
        <v>35</v>
      </c>
      <c r="S4" s="449"/>
      <c r="T4" s="449"/>
      <c r="U4" s="450"/>
      <c r="V4" s="510">
        <f>IF(共通条件・結果!AA7="８地域","0.517",IF(共通条件・結果!AA7="７地域",0.479,IF(共通条件・結果!AA7="６地域",0.491,IF(共通条件・結果!AA7="５地域",0.52,IF(共通条件・結果!AA7="４地域",0.481,IF(共通条件・結果!AA7="３地域",0.55,IF(共通条件・結果!AA7="２地域",0.548,IF(共通条件・結果!AA7="１地域",0.526))))))))</f>
        <v>0.49099999999999999</v>
      </c>
      <c r="W4" s="511"/>
      <c r="X4" s="510">
        <f>IF(共通条件・結果!AA7="８地域","-",IF(共通条件・結果!AA7="７地域",0.848,IF(共通条件・結果!AA7="６地域",0.763,IF(共通条件・結果!AA7="５地域",0.815,IF(共通条件・結果!AA7="４地域",0.723,IF(共通条件・結果!AA7="３地域",0.75,IF(共通条件・結果!AA7="２地域",0.753,IF(共通条件・結果!AA7="１地域",0.79))))))))</f>
        <v>0.76300000000000001</v>
      </c>
      <c r="Y4" s="511"/>
    </row>
    <row r="5" spans="2:41" s="37" customFormat="1" ht="21.95" customHeight="1">
      <c r="B5" s="453" t="s">
        <v>6</v>
      </c>
      <c r="C5" s="361"/>
      <c r="D5" s="361" t="s">
        <v>91</v>
      </c>
      <c r="E5" s="361"/>
      <c r="F5" s="361"/>
      <c r="G5" s="361"/>
      <c r="H5" s="361" t="s">
        <v>7</v>
      </c>
      <c r="I5" s="361"/>
      <c r="J5" s="360" t="s">
        <v>99</v>
      </c>
      <c r="K5" s="361"/>
      <c r="L5" s="360" t="s">
        <v>10</v>
      </c>
      <c r="M5" s="361"/>
      <c r="N5" s="456" t="s">
        <v>71</v>
      </c>
      <c r="O5" s="457"/>
      <c r="P5" s="457"/>
      <c r="Q5" s="457"/>
      <c r="R5" s="457"/>
      <c r="S5" s="457"/>
      <c r="T5" s="457"/>
      <c r="U5" s="457"/>
      <c r="V5" s="360" t="s">
        <v>66</v>
      </c>
      <c r="W5" s="361"/>
      <c r="X5" s="360" t="s">
        <v>67</v>
      </c>
      <c r="Y5" s="361"/>
      <c r="Z5" s="361" t="s">
        <v>13</v>
      </c>
      <c r="AA5" s="363"/>
    </row>
    <row r="6" spans="2:41" s="37" customFormat="1" ht="21.95" customHeight="1">
      <c r="B6" s="454"/>
      <c r="C6" s="443"/>
      <c r="D6" s="469" t="s">
        <v>9</v>
      </c>
      <c r="E6" s="470"/>
      <c r="F6" s="473" t="s">
        <v>8</v>
      </c>
      <c r="G6" s="474"/>
      <c r="H6" s="443"/>
      <c r="I6" s="443"/>
      <c r="J6" s="442"/>
      <c r="K6" s="443"/>
      <c r="L6" s="442"/>
      <c r="M6" s="443"/>
      <c r="N6" s="476" t="s">
        <v>69</v>
      </c>
      <c r="O6" s="477"/>
      <c r="P6" s="479" t="s">
        <v>70</v>
      </c>
      <c r="Q6" s="480"/>
      <c r="R6" s="480"/>
      <c r="S6" s="480"/>
      <c r="T6" s="480"/>
      <c r="U6" s="481"/>
      <c r="V6" s="442"/>
      <c r="W6" s="443"/>
      <c r="X6" s="442"/>
      <c r="Y6" s="443"/>
      <c r="Z6" s="443"/>
      <c r="AA6" s="444"/>
      <c r="AD6" s="401" t="s">
        <v>74</v>
      </c>
      <c r="AE6" s="401"/>
      <c r="AF6" s="39"/>
      <c r="AG6" s="39"/>
      <c r="AH6" s="401" t="s">
        <v>14</v>
      </c>
      <c r="AI6" s="401"/>
      <c r="AJ6" s="39"/>
      <c r="AK6" s="401" t="s">
        <v>75</v>
      </c>
      <c r="AL6" s="401"/>
      <c r="AN6" s="401" t="s">
        <v>89</v>
      </c>
      <c r="AO6" s="401"/>
    </row>
    <row r="7" spans="2:41" s="37" customFormat="1" ht="21.95" customHeight="1" thickBot="1">
      <c r="B7" s="455"/>
      <c r="C7" s="362"/>
      <c r="D7" s="471"/>
      <c r="E7" s="472"/>
      <c r="F7" s="475"/>
      <c r="G7" s="438"/>
      <c r="H7" s="362"/>
      <c r="I7" s="362"/>
      <c r="J7" s="362"/>
      <c r="K7" s="362"/>
      <c r="L7" s="362"/>
      <c r="M7" s="362"/>
      <c r="N7" s="378"/>
      <c r="O7" s="478"/>
      <c r="P7" s="438" t="s">
        <v>11</v>
      </c>
      <c r="Q7" s="439"/>
      <c r="R7" s="440" t="s">
        <v>12</v>
      </c>
      <c r="S7" s="441"/>
      <c r="T7" s="438" t="s">
        <v>3</v>
      </c>
      <c r="U7" s="439"/>
      <c r="V7" s="362"/>
      <c r="W7" s="362"/>
      <c r="X7" s="362"/>
      <c r="Y7" s="362"/>
      <c r="Z7" s="362"/>
      <c r="AA7" s="364"/>
      <c r="AD7" s="39" t="s">
        <v>4</v>
      </c>
      <c r="AE7" s="39" t="s">
        <v>18</v>
      </c>
      <c r="AF7" s="39"/>
      <c r="AG7" s="39"/>
      <c r="AH7" s="39" t="s">
        <v>4</v>
      </c>
      <c r="AI7" s="39" t="s">
        <v>18</v>
      </c>
      <c r="AJ7" s="39"/>
      <c r="AK7" s="39" t="s">
        <v>4</v>
      </c>
      <c r="AL7" s="39" t="s">
        <v>18</v>
      </c>
      <c r="AN7" s="97" t="s">
        <v>87</v>
      </c>
      <c r="AO7" s="37" t="s">
        <v>85</v>
      </c>
    </row>
    <row r="8" spans="2:41" s="37" customFormat="1" ht="21.95" customHeight="1">
      <c r="B8" s="433"/>
      <c r="C8" s="434"/>
      <c r="D8" s="435"/>
      <c r="E8" s="436"/>
      <c r="F8" s="436"/>
      <c r="G8" s="437"/>
      <c r="H8" s="392"/>
      <c r="I8" s="392"/>
      <c r="J8" s="392"/>
      <c r="K8" s="392"/>
      <c r="L8" s="410"/>
      <c r="M8" s="410"/>
      <c r="N8" s="482"/>
      <c r="O8" s="483"/>
      <c r="P8" s="461"/>
      <c r="Q8" s="484"/>
      <c r="R8" s="458"/>
      <c r="S8" s="459"/>
      <c r="T8" s="460"/>
      <c r="U8" s="461"/>
      <c r="V8" s="462" t="str">
        <f>IF(D8="","",AD8)</f>
        <v/>
      </c>
      <c r="W8" s="462"/>
      <c r="X8" s="462" t="str">
        <f t="shared" ref="X8:X19" si="0">IF(D8="","",IF(ISERROR(AE8),"-",AE8))</f>
        <v/>
      </c>
      <c r="Y8" s="462"/>
      <c r="Z8" s="462" t="str">
        <f>IF(D8="","",D8*F8*AN8)</f>
        <v/>
      </c>
      <c r="AA8" s="463"/>
      <c r="AD8" s="37" t="e">
        <f>D8*F8*J8*$V$4*AH8</f>
        <v>#VALUE!</v>
      </c>
      <c r="AE8" s="37" t="e">
        <f>D8*F8*J8*$X$4*AI8</f>
        <v>#VALUE!</v>
      </c>
      <c r="AG8" s="40" t="b">
        <v>0</v>
      </c>
      <c r="AH8" s="37" t="str">
        <f>IF(AG8=TRUE,"0.93",IF(ISERROR(AK8),"エラー",IF(AK8&gt;0.93,"0.93",AK8)))</f>
        <v>エラー</v>
      </c>
      <c r="AI8" s="37" t="str">
        <f>IF(AG8=TRUE,"0.51",IF(ISERROR(AL8),"エラー",IF(AL8&gt;0.72,"0.72",AL8)))</f>
        <v>エラー</v>
      </c>
      <c r="AK8" s="37" t="e">
        <f>IF(共通条件・結果!$AA$7="８（Ⅵ）",0.01*(16+19*(2*R8+T8)/P8),0.01*(16+24*(2*R8+T8)/P8))</f>
        <v>#DIV/0!</v>
      </c>
      <c r="AL8" s="37" t="e">
        <f>0.01*(5+20*(3*R8+T8)/P8)</f>
        <v>#DIV/0!</v>
      </c>
      <c r="AN8" s="37">
        <f>IF(共通条件・結果!$AA$7="８地域",H8,IF(AO8="FALSE",H8,IF(L8="風除室",1/((1/H8)+0.1),0.5*H8+0.5*(1/((1/H8)+AO8)))))</f>
        <v>0</v>
      </c>
      <c r="AO8" s="39" t="str">
        <f t="shared" ref="AO8:AO19" si="1">IF(L8="","FALSE",IF(L8="雨戸",0.1,IF(L8="ｼｬｯﾀｰ",0.1,IF(L8="障子",0.18,IF(L8="風除室",0.1)))))</f>
        <v>FALSE</v>
      </c>
    </row>
    <row r="9" spans="2:41" s="37" customFormat="1" ht="21.95" customHeight="1">
      <c r="B9" s="419"/>
      <c r="C9" s="420"/>
      <c r="D9" s="421"/>
      <c r="E9" s="422"/>
      <c r="F9" s="422"/>
      <c r="G9" s="423"/>
      <c r="H9" s="370"/>
      <c r="I9" s="370"/>
      <c r="J9" s="370"/>
      <c r="K9" s="370"/>
      <c r="L9" s="398" t="s">
        <v>65</v>
      </c>
      <c r="M9" s="398"/>
      <c r="N9" s="428"/>
      <c r="O9" s="429"/>
      <c r="P9" s="427"/>
      <c r="Q9" s="430"/>
      <c r="R9" s="424"/>
      <c r="S9" s="425"/>
      <c r="T9" s="426"/>
      <c r="U9" s="427"/>
      <c r="V9" s="358" t="str">
        <f t="shared" ref="V9:V19" si="2">IF(D9="","",AD9)</f>
        <v/>
      </c>
      <c r="W9" s="358"/>
      <c r="X9" s="358" t="str">
        <f t="shared" si="0"/>
        <v/>
      </c>
      <c r="Y9" s="358"/>
      <c r="Z9" s="358" t="str">
        <f t="shared" ref="Z9:Z19" si="3">IF(D9="","",D9*F9*AN9)</f>
        <v/>
      </c>
      <c r="AA9" s="359"/>
      <c r="AD9" s="37" t="e">
        <f t="shared" ref="AD9:AD19" si="4">D9*F9*J9*$V$4*AH9</f>
        <v>#VALUE!</v>
      </c>
      <c r="AE9" s="37" t="e">
        <f t="shared" ref="AE9:AE19" si="5">D9*F9*J9*$X$4*AI9</f>
        <v>#VALUE!</v>
      </c>
      <c r="AG9" s="40" t="b">
        <v>0</v>
      </c>
      <c r="AH9" s="37" t="str">
        <f t="shared" ref="AH9:AH19" si="6">IF(AG9=TRUE,"0.93",IF(ISERROR(AK9),"エラー",IF(AK9&gt;0.93,"0.93",AK9)))</f>
        <v>エラー</v>
      </c>
      <c r="AI9" s="37" t="str">
        <f t="shared" ref="AI9:AI19" si="7">IF(AG9=TRUE,"0.51",IF(ISERROR(AL9),"エラー",IF(AL9&gt;0.72,"0.72",AL9)))</f>
        <v>エラー</v>
      </c>
      <c r="AK9" s="37" t="e">
        <f>IF(共通条件・結果!$AA$7="８（Ⅵ）",0.01*(16+19*(2*R9+T9)/P9),0.01*(16+24*(2*R9+T9)/P9))</f>
        <v>#DIV/0!</v>
      </c>
      <c r="AL9" s="37" t="e">
        <f t="shared" ref="AL9:AL19" si="8">0.01*(5+20*(3*R9+T9)/P9)</f>
        <v>#DIV/0!</v>
      </c>
      <c r="AN9" s="37" t="e">
        <f>IF(共通条件・結果!$AA$7="８地域",H9,IF(AO9="FALSE",H9,IF(L9="風除室",1/((1/H9)+0.1),0.5*H9+0.5*(1/((1/H9)+AO9)))))</f>
        <v>#DIV/0!</v>
      </c>
      <c r="AO9" s="39" t="b">
        <f t="shared" si="1"/>
        <v>0</v>
      </c>
    </row>
    <row r="10" spans="2:41" s="37" customFormat="1" ht="21.95" customHeight="1">
      <c r="B10" s="419"/>
      <c r="C10" s="420"/>
      <c r="D10" s="421"/>
      <c r="E10" s="422"/>
      <c r="F10" s="422"/>
      <c r="G10" s="423"/>
      <c r="H10" s="370"/>
      <c r="I10" s="370"/>
      <c r="J10" s="370"/>
      <c r="K10" s="370"/>
      <c r="L10" s="398" t="s">
        <v>65</v>
      </c>
      <c r="M10" s="398"/>
      <c r="N10" s="428"/>
      <c r="O10" s="429"/>
      <c r="P10" s="430"/>
      <c r="Q10" s="432"/>
      <c r="R10" s="431"/>
      <c r="S10" s="432"/>
      <c r="T10" s="431"/>
      <c r="U10" s="426"/>
      <c r="V10" s="358" t="str">
        <f t="shared" si="2"/>
        <v/>
      </c>
      <c r="W10" s="358"/>
      <c r="X10" s="358" t="str">
        <f t="shared" si="0"/>
        <v/>
      </c>
      <c r="Y10" s="358"/>
      <c r="Z10" s="358" t="str">
        <f t="shared" si="3"/>
        <v/>
      </c>
      <c r="AA10" s="359"/>
      <c r="AD10" s="37" t="e">
        <f t="shared" si="4"/>
        <v>#VALUE!</v>
      </c>
      <c r="AE10" s="37" t="e">
        <f t="shared" si="5"/>
        <v>#VALUE!</v>
      </c>
      <c r="AG10" s="40" t="b">
        <v>0</v>
      </c>
      <c r="AH10" s="37" t="str">
        <f t="shared" si="6"/>
        <v>エラー</v>
      </c>
      <c r="AI10" s="37" t="str">
        <f t="shared" si="7"/>
        <v>エラー</v>
      </c>
      <c r="AK10" s="37" t="e">
        <f>IF(共通条件・結果!$AA$7="８（Ⅵ）",0.01*(16+19*(2*R10+T10)/P10),0.01*(16+24*(2*R10+T10)/P10))</f>
        <v>#DIV/0!</v>
      </c>
      <c r="AL10" s="37" t="e">
        <f t="shared" si="8"/>
        <v>#DIV/0!</v>
      </c>
      <c r="AN10" s="37" t="e">
        <f>IF(共通条件・結果!$AA$7="８地域",H10,IF(AO10="FALSE",H10,IF(L10="風除室",1/((1/H10)+0.1),0.5*H10+0.5*(1/((1/H10)+AO10)))))</f>
        <v>#DIV/0!</v>
      </c>
      <c r="AO10" s="39" t="b">
        <f t="shared" si="1"/>
        <v>0</v>
      </c>
    </row>
    <row r="11" spans="2:41" s="37" customFormat="1" ht="21.95" customHeight="1">
      <c r="B11" s="419"/>
      <c r="C11" s="420"/>
      <c r="D11" s="421"/>
      <c r="E11" s="422"/>
      <c r="F11" s="422"/>
      <c r="G11" s="423"/>
      <c r="H11" s="370"/>
      <c r="I11" s="370"/>
      <c r="J11" s="370"/>
      <c r="K11" s="370"/>
      <c r="L11" s="398" t="s">
        <v>65</v>
      </c>
      <c r="M11" s="398"/>
      <c r="N11" s="428"/>
      <c r="O11" s="429"/>
      <c r="P11" s="430"/>
      <c r="Q11" s="432"/>
      <c r="R11" s="431"/>
      <c r="S11" s="432"/>
      <c r="T11" s="431"/>
      <c r="U11" s="426"/>
      <c r="V11" s="358" t="str">
        <f t="shared" si="2"/>
        <v/>
      </c>
      <c r="W11" s="358"/>
      <c r="X11" s="358" t="str">
        <f t="shared" si="0"/>
        <v/>
      </c>
      <c r="Y11" s="358"/>
      <c r="Z11" s="358" t="str">
        <f t="shared" si="3"/>
        <v/>
      </c>
      <c r="AA11" s="359"/>
      <c r="AD11" s="37" t="e">
        <f t="shared" si="4"/>
        <v>#VALUE!</v>
      </c>
      <c r="AE11" s="37" t="e">
        <f t="shared" si="5"/>
        <v>#VALUE!</v>
      </c>
      <c r="AG11" s="40" t="b">
        <v>0</v>
      </c>
      <c r="AH11" s="37" t="str">
        <f t="shared" si="6"/>
        <v>エラー</v>
      </c>
      <c r="AI11" s="37" t="str">
        <f t="shared" si="7"/>
        <v>エラー</v>
      </c>
      <c r="AK11" s="37" t="e">
        <f>IF(共通条件・結果!$AA$7="８（Ⅵ）",0.01*(16+19*(2*R11+T11)/P11),0.01*(16+24*(2*R11+T11)/P11))</f>
        <v>#DIV/0!</v>
      </c>
      <c r="AL11" s="37" t="e">
        <f t="shared" si="8"/>
        <v>#DIV/0!</v>
      </c>
      <c r="AN11" s="37" t="e">
        <f>IF(共通条件・結果!$AA$7="８地域",H11,IF(AO11="FALSE",H11,IF(L11="風除室",1/((1/H11)+0.1),0.5*H11+0.5*(1/((1/H11)+AO11)))))</f>
        <v>#DIV/0!</v>
      </c>
      <c r="AO11" s="39" t="b">
        <f t="shared" si="1"/>
        <v>0</v>
      </c>
    </row>
    <row r="12" spans="2:41" s="37" customFormat="1" ht="21.95" customHeight="1">
      <c r="B12" s="419"/>
      <c r="C12" s="445"/>
      <c r="D12" s="488"/>
      <c r="E12" s="492"/>
      <c r="F12" s="493"/>
      <c r="G12" s="489"/>
      <c r="H12" s="488"/>
      <c r="I12" s="489"/>
      <c r="J12" s="488"/>
      <c r="K12" s="489"/>
      <c r="L12" s="495"/>
      <c r="M12" s="496"/>
      <c r="N12" s="428"/>
      <c r="O12" s="497"/>
      <c r="P12" s="430"/>
      <c r="Q12" s="432"/>
      <c r="R12" s="431"/>
      <c r="S12" s="432"/>
      <c r="T12" s="431"/>
      <c r="U12" s="426"/>
      <c r="V12" s="356" t="str">
        <f t="shared" ref="V12:V13" si="9">IF(D12="","",AD12)</f>
        <v/>
      </c>
      <c r="W12" s="357"/>
      <c r="X12" s="356" t="str">
        <f t="shared" ref="X12:X13" si="10">IF(D12="","",IF(ISERROR(AE12),"-",AE12))</f>
        <v/>
      </c>
      <c r="Y12" s="357"/>
      <c r="Z12" s="356" t="str">
        <f t="shared" ref="Z12:Z13" si="11">IF(D12="","",D12*F12*AN12)</f>
        <v/>
      </c>
      <c r="AA12" s="375"/>
      <c r="AD12" s="37" t="e">
        <f t="shared" ref="AD12:AD13" si="12">D12*F12*J12*$V$4*AH12</f>
        <v>#VALUE!</v>
      </c>
      <c r="AE12" s="37" t="e">
        <f t="shared" ref="AE12:AE13" si="13">D12*F12*J12*$X$4*AI12</f>
        <v>#VALUE!</v>
      </c>
      <c r="AG12" s="40" t="b">
        <v>0</v>
      </c>
      <c r="AH12" s="37" t="str">
        <f t="shared" ref="AH12:AH13" si="14">IF(AG12=TRUE,"0.93",IF(ISERROR(AK12),"エラー",IF(AK12&gt;0.93,"0.93",AK12)))</f>
        <v>エラー</v>
      </c>
      <c r="AI12" s="37" t="str">
        <f t="shared" ref="AI12:AI13" si="15">IF(AG12=TRUE,"0.51",IF(ISERROR(AL12),"エラー",IF(AL12&gt;0.72,"0.72",AL12)))</f>
        <v>エラー</v>
      </c>
      <c r="AK12" s="37" t="e">
        <f>IF(共通条件・結果!$AA$7="８（Ⅵ）",0.01*(16+19*(2*R12+T12)/P12),0.01*(16+24*(2*R12+T12)/P12))</f>
        <v>#DIV/0!</v>
      </c>
      <c r="AL12" s="37" t="e">
        <f t="shared" ref="AL12:AL13" si="16">0.01*(5+20*(3*R12+T12)/P12)</f>
        <v>#DIV/0!</v>
      </c>
      <c r="AN12" s="37">
        <f>IF(共通条件・結果!$AA$7="８地域",H12,IF(AO12="FALSE",H12,IF(L12="風除室",1/((1/H12)+0.1),0.5*H12+0.5*(1/((1/H12)+AO12)))))</f>
        <v>0</v>
      </c>
      <c r="AO12" s="95" t="str">
        <f t="shared" ref="AO12:AO13" si="17">IF(L12="","FALSE",IF(L12="雨戸",0.1,IF(L12="ｼｬｯﾀｰ",0.1,IF(L12="障子",0.18,IF(L12="風除室",0.1)))))</f>
        <v>FALSE</v>
      </c>
    </row>
    <row r="13" spans="2:41" s="37" customFormat="1" ht="21.95" customHeight="1">
      <c r="B13" s="419"/>
      <c r="C13" s="445"/>
      <c r="D13" s="488"/>
      <c r="E13" s="492"/>
      <c r="F13" s="493"/>
      <c r="G13" s="489"/>
      <c r="H13" s="488"/>
      <c r="I13" s="489"/>
      <c r="J13" s="488"/>
      <c r="K13" s="489"/>
      <c r="L13" s="495"/>
      <c r="M13" s="496"/>
      <c r="N13" s="428"/>
      <c r="O13" s="497"/>
      <c r="P13" s="430"/>
      <c r="Q13" s="432"/>
      <c r="R13" s="431"/>
      <c r="S13" s="432"/>
      <c r="T13" s="431"/>
      <c r="U13" s="426"/>
      <c r="V13" s="356" t="str">
        <f t="shared" si="9"/>
        <v/>
      </c>
      <c r="W13" s="357"/>
      <c r="X13" s="356" t="str">
        <f t="shared" si="10"/>
        <v/>
      </c>
      <c r="Y13" s="357"/>
      <c r="Z13" s="356" t="str">
        <f t="shared" si="11"/>
        <v/>
      </c>
      <c r="AA13" s="375"/>
      <c r="AD13" s="37" t="e">
        <f t="shared" si="12"/>
        <v>#VALUE!</v>
      </c>
      <c r="AE13" s="37" t="e">
        <f t="shared" si="13"/>
        <v>#VALUE!</v>
      </c>
      <c r="AG13" s="40" t="b">
        <v>0</v>
      </c>
      <c r="AH13" s="37" t="str">
        <f t="shared" si="14"/>
        <v>エラー</v>
      </c>
      <c r="AI13" s="37" t="str">
        <f t="shared" si="15"/>
        <v>エラー</v>
      </c>
      <c r="AK13" s="37" t="e">
        <f>IF(共通条件・結果!$AA$7="８（Ⅵ）",0.01*(16+19*(2*R13+T13)/P13),0.01*(16+24*(2*R13+T13)/P13))</f>
        <v>#DIV/0!</v>
      </c>
      <c r="AL13" s="37" t="e">
        <f t="shared" si="16"/>
        <v>#DIV/0!</v>
      </c>
      <c r="AN13" s="37">
        <f>IF(共通条件・結果!$AA$7="８地域",H13,IF(AO13="FALSE",H13,IF(L13="風除室",1/((1/H13)+0.1),0.5*H13+0.5*(1/((1/H13)+AO13)))))</f>
        <v>0</v>
      </c>
      <c r="AO13" s="95" t="str">
        <f t="shared" si="17"/>
        <v>FALSE</v>
      </c>
    </row>
    <row r="14" spans="2:41" s="37" customFormat="1" ht="21.95" customHeight="1">
      <c r="B14" s="419"/>
      <c r="C14" s="420"/>
      <c r="D14" s="421"/>
      <c r="E14" s="422"/>
      <c r="F14" s="422"/>
      <c r="G14" s="423"/>
      <c r="H14" s="370"/>
      <c r="I14" s="370"/>
      <c r="J14" s="370"/>
      <c r="K14" s="370"/>
      <c r="L14" s="398" t="s">
        <v>65</v>
      </c>
      <c r="M14" s="398"/>
      <c r="N14" s="428"/>
      <c r="O14" s="429"/>
      <c r="P14" s="430"/>
      <c r="Q14" s="432"/>
      <c r="R14" s="431"/>
      <c r="S14" s="432"/>
      <c r="T14" s="431"/>
      <c r="U14" s="426"/>
      <c r="V14" s="358" t="str">
        <f t="shared" si="2"/>
        <v/>
      </c>
      <c r="W14" s="358"/>
      <c r="X14" s="358" t="str">
        <f t="shared" si="0"/>
        <v/>
      </c>
      <c r="Y14" s="358"/>
      <c r="Z14" s="358" t="str">
        <f t="shared" si="3"/>
        <v/>
      </c>
      <c r="AA14" s="359"/>
      <c r="AD14" s="37" t="e">
        <f t="shared" si="4"/>
        <v>#VALUE!</v>
      </c>
      <c r="AE14" s="37" t="e">
        <f t="shared" si="5"/>
        <v>#VALUE!</v>
      </c>
      <c r="AG14" s="40" t="b">
        <v>0</v>
      </c>
      <c r="AH14" s="37" t="str">
        <f t="shared" si="6"/>
        <v>エラー</v>
      </c>
      <c r="AI14" s="37" t="str">
        <f t="shared" si="7"/>
        <v>エラー</v>
      </c>
      <c r="AK14" s="37" t="e">
        <f>IF(共通条件・結果!$AA$7="８（Ⅵ）",0.01*(16+19*(2*R14+T14)/P14),0.01*(16+24*(2*R14+T14)/P14))</f>
        <v>#DIV/0!</v>
      </c>
      <c r="AL14" s="37" t="e">
        <f t="shared" si="8"/>
        <v>#DIV/0!</v>
      </c>
      <c r="AN14" s="37" t="e">
        <f>IF(共通条件・結果!$AA$7="８地域",H14,IF(AO14="FALSE",H14,IF(L14="風除室",1/((1/H14)+0.1),0.5*H14+0.5*(1/((1/H14)+AO14)))))</f>
        <v>#DIV/0!</v>
      </c>
      <c r="AO14" s="39" t="b">
        <f t="shared" si="1"/>
        <v>0</v>
      </c>
    </row>
    <row r="15" spans="2:41" s="37" customFormat="1" ht="21.95" customHeight="1">
      <c r="B15" s="419"/>
      <c r="C15" s="420"/>
      <c r="D15" s="421"/>
      <c r="E15" s="422"/>
      <c r="F15" s="422"/>
      <c r="G15" s="423"/>
      <c r="H15" s="370"/>
      <c r="I15" s="370"/>
      <c r="J15" s="370"/>
      <c r="K15" s="370"/>
      <c r="L15" s="398" t="s">
        <v>65</v>
      </c>
      <c r="M15" s="398"/>
      <c r="N15" s="428"/>
      <c r="O15" s="429"/>
      <c r="P15" s="430"/>
      <c r="Q15" s="432"/>
      <c r="R15" s="431"/>
      <c r="S15" s="432"/>
      <c r="T15" s="431"/>
      <c r="U15" s="426"/>
      <c r="V15" s="356" t="str">
        <f t="shared" si="2"/>
        <v/>
      </c>
      <c r="W15" s="357"/>
      <c r="X15" s="358" t="str">
        <f t="shared" si="0"/>
        <v/>
      </c>
      <c r="Y15" s="358"/>
      <c r="Z15" s="358" t="str">
        <f t="shared" si="3"/>
        <v/>
      </c>
      <c r="AA15" s="359"/>
      <c r="AD15" s="37" t="e">
        <f t="shared" si="4"/>
        <v>#VALUE!</v>
      </c>
      <c r="AE15" s="37" t="e">
        <f t="shared" si="5"/>
        <v>#VALUE!</v>
      </c>
      <c r="AG15" s="40" t="b">
        <v>0</v>
      </c>
      <c r="AH15" s="37" t="str">
        <f t="shared" si="6"/>
        <v>エラー</v>
      </c>
      <c r="AI15" s="37" t="str">
        <f t="shared" si="7"/>
        <v>エラー</v>
      </c>
      <c r="AK15" s="37" t="e">
        <f>IF(共通条件・結果!$AA$7="８（Ⅵ）",0.01*(16+19*(2*R15+T15)/P15),0.01*(16+24*(2*R15+T15)/P15))</f>
        <v>#DIV/0!</v>
      </c>
      <c r="AL15" s="37" t="e">
        <f t="shared" si="8"/>
        <v>#DIV/0!</v>
      </c>
      <c r="AN15" s="37" t="e">
        <f>IF(共通条件・結果!$AA$7="８地域",H15,IF(AO15="FALSE",H15,IF(L15="風除室",1/((1/H15)+0.1),0.5*H15+0.5*(1/((1/H15)+AO15)))))</f>
        <v>#DIV/0!</v>
      </c>
      <c r="AO15" s="39" t="b">
        <f t="shared" si="1"/>
        <v>0</v>
      </c>
    </row>
    <row r="16" spans="2:41" s="37" customFormat="1" ht="21.95" customHeight="1">
      <c r="B16" s="419"/>
      <c r="C16" s="420"/>
      <c r="D16" s="421"/>
      <c r="E16" s="422"/>
      <c r="F16" s="422"/>
      <c r="G16" s="423"/>
      <c r="H16" s="370"/>
      <c r="I16" s="370"/>
      <c r="J16" s="370"/>
      <c r="K16" s="370"/>
      <c r="L16" s="398" t="s">
        <v>65</v>
      </c>
      <c r="M16" s="398"/>
      <c r="N16" s="428"/>
      <c r="O16" s="429"/>
      <c r="P16" s="430"/>
      <c r="Q16" s="432"/>
      <c r="R16" s="431"/>
      <c r="S16" s="432"/>
      <c r="T16" s="431"/>
      <c r="U16" s="426"/>
      <c r="V16" s="356" t="str">
        <f t="shared" si="2"/>
        <v/>
      </c>
      <c r="W16" s="357"/>
      <c r="X16" s="358" t="str">
        <f t="shared" si="0"/>
        <v/>
      </c>
      <c r="Y16" s="358"/>
      <c r="Z16" s="358" t="str">
        <f t="shared" si="3"/>
        <v/>
      </c>
      <c r="AA16" s="359"/>
      <c r="AD16" s="37" t="e">
        <f t="shared" si="4"/>
        <v>#VALUE!</v>
      </c>
      <c r="AE16" s="37" t="e">
        <f t="shared" si="5"/>
        <v>#VALUE!</v>
      </c>
      <c r="AG16" s="40" t="b">
        <v>0</v>
      </c>
      <c r="AH16" s="37" t="str">
        <f t="shared" si="6"/>
        <v>エラー</v>
      </c>
      <c r="AI16" s="37" t="str">
        <f t="shared" si="7"/>
        <v>エラー</v>
      </c>
      <c r="AK16" s="37" t="e">
        <f>IF(共通条件・結果!$AA$7="８（Ⅵ）",0.01*(16+19*(2*R16+T16)/P16),0.01*(16+24*(2*R16+T16)/P16))</f>
        <v>#DIV/0!</v>
      </c>
      <c r="AL16" s="37" t="e">
        <f t="shared" si="8"/>
        <v>#DIV/0!</v>
      </c>
      <c r="AN16" s="37" t="e">
        <f>IF(共通条件・結果!$AA$7="８地域",H16,IF(AO16="FALSE",H16,IF(L16="風除室",1/((1/H16)+0.1),0.5*H16+0.5*(1/((1/H16)+AO16)))))</f>
        <v>#DIV/0!</v>
      </c>
      <c r="AO16" s="39" t="b">
        <f t="shared" si="1"/>
        <v>0</v>
      </c>
    </row>
    <row r="17" spans="2:41" s="37" customFormat="1" ht="21.95" customHeight="1">
      <c r="B17" s="419"/>
      <c r="C17" s="420"/>
      <c r="D17" s="421"/>
      <c r="E17" s="422"/>
      <c r="F17" s="422"/>
      <c r="G17" s="423"/>
      <c r="H17" s="370"/>
      <c r="I17" s="370"/>
      <c r="J17" s="370"/>
      <c r="K17" s="370"/>
      <c r="L17" s="398" t="s">
        <v>65</v>
      </c>
      <c r="M17" s="398"/>
      <c r="N17" s="428"/>
      <c r="O17" s="429"/>
      <c r="P17" s="427"/>
      <c r="Q17" s="430"/>
      <c r="R17" s="431"/>
      <c r="S17" s="432"/>
      <c r="T17" s="431"/>
      <c r="U17" s="426"/>
      <c r="V17" s="356" t="str">
        <f t="shared" si="2"/>
        <v/>
      </c>
      <c r="W17" s="357"/>
      <c r="X17" s="358" t="str">
        <f t="shared" si="0"/>
        <v/>
      </c>
      <c r="Y17" s="358"/>
      <c r="Z17" s="358" t="str">
        <f t="shared" si="3"/>
        <v/>
      </c>
      <c r="AA17" s="359"/>
      <c r="AD17" s="37" t="e">
        <f t="shared" si="4"/>
        <v>#VALUE!</v>
      </c>
      <c r="AE17" s="37" t="e">
        <f t="shared" si="5"/>
        <v>#VALUE!</v>
      </c>
      <c r="AG17" s="40" t="b">
        <v>0</v>
      </c>
      <c r="AH17" s="37" t="str">
        <f t="shared" si="6"/>
        <v>エラー</v>
      </c>
      <c r="AI17" s="37" t="str">
        <f t="shared" si="7"/>
        <v>エラー</v>
      </c>
      <c r="AK17" s="37" t="e">
        <f>IF(共通条件・結果!$AA$7="８（Ⅵ）",0.01*(16+19*(2*R17+T17)/P17),0.01*(16+24*(2*R17+T17)/P17))</f>
        <v>#DIV/0!</v>
      </c>
      <c r="AL17" s="37" t="e">
        <f t="shared" si="8"/>
        <v>#DIV/0!</v>
      </c>
      <c r="AN17" s="37" t="e">
        <f>IF(共通条件・結果!$AA$7="８地域",H17,IF(AO17="FALSE",H17,IF(L17="風除室",1/((1/H17)+0.1),0.5*H17+0.5*(1/((1/H17)+AO17)))))</f>
        <v>#DIV/0!</v>
      </c>
      <c r="AO17" s="39" t="b">
        <f t="shared" si="1"/>
        <v>0</v>
      </c>
    </row>
    <row r="18" spans="2:41" s="37" customFormat="1" ht="21.95" customHeight="1">
      <c r="B18" s="419"/>
      <c r="C18" s="420"/>
      <c r="D18" s="421"/>
      <c r="E18" s="422"/>
      <c r="F18" s="422"/>
      <c r="G18" s="423"/>
      <c r="H18" s="370"/>
      <c r="I18" s="370"/>
      <c r="J18" s="370"/>
      <c r="K18" s="370"/>
      <c r="L18" s="398" t="s">
        <v>65</v>
      </c>
      <c r="M18" s="398"/>
      <c r="N18" s="428"/>
      <c r="O18" s="429"/>
      <c r="P18" s="427"/>
      <c r="Q18" s="430"/>
      <c r="R18" s="424"/>
      <c r="S18" s="425"/>
      <c r="T18" s="426"/>
      <c r="U18" s="427"/>
      <c r="V18" s="356" t="str">
        <f t="shared" si="2"/>
        <v/>
      </c>
      <c r="W18" s="357"/>
      <c r="X18" s="358" t="str">
        <f t="shared" si="0"/>
        <v/>
      </c>
      <c r="Y18" s="358"/>
      <c r="Z18" s="358" t="str">
        <f t="shared" si="3"/>
        <v/>
      </c>
      <c r="AA18" s="359"/>
      <c r="AD18" s="37" t="e">
        <f t="shared" si="4"/>
        <v>#VALUE!</v>
      </c>
      <c r="AE18" s="37" t="e">
        <f t="shared" si="5"/>
        <v>#VALUE!</v>
      </c>
      <c r="AG18" s="40" t="b">
        <v>0</v>
      </c>
      <c r="AH18" s="37" t="str">
        <f t="shared" si="6"/>
        <v>エラー</v>
      </c>
      <c r="AI18" s="37" t="str">
        <f t="shared" si="7"/>
        <v>エラー</v>
      </c>
      <c r="AK18" s="37" t="e">
        <f>IF(共通条件・結果!$AA$7="８（Ⅵ）",0.01*(16+19*(2*R18+T18)/P18),0.01*(16+24*(2*R18+T18)/P18))</f>
        <v>#DIV/0!</v>
      </c>
      <c r="AL18" s="37" t="e">
        <f t="shared" si="8"/>
        <v>#DIV/0!</v>
      </c>
      <c r="AN18" s="37" t="e">
        <f>IF(共通条件・結果!$AA$7="８地域",H18,IF(AO18="FALSE",H18,IF(L18="風除室",1/((1/H18)+0.1),0.5*H18+0.5*(1/((1/H18)+AO18)))))</f>
        <v>#DIV/0!</v>
      </c>
      <c r="AO18" s="39" t="b">
        <f t="shared" si="1"/>
        <v>0</v>
      </c>
    </row>
    <row r="19" spans="2:41" s="37" customFormat="1" ht="21.95" customHeight="1" thickBot="1">
      <c r="B19" s="350"/>
      <c r="C19" s="417"/>
      <c r="D19" s="394"/>
      <c r="E19" s="395"/>
      <c r="F19" s="395"/>
      <c r="G19" s="396"/>
      <c r="H19" s="397"/>
      <c r="I19" s="397"/>
      <c r="J19" s="397"/>
      <c r="K19" s="397"/>
      <c r="L19" s="410" t="s">
        <v>65</v>
      </c>
      <c r="M19" s="410"/>
      <c r="N19" s="411"/>
      <c r="O19" s="412"/>
      <c r="P19" s="413"/>
      <c r="Q19" s="414"/>
      <c r="R19" s="415"/>
      <c r="S19" s="416"/>
      <c r="T19" s="418"/>
      <c r="U19" s="413"/>
      <c r="V19" s="356" t="str">
        <f t="shared" si="2"/>
        <v/>
      </c>
      <c r="W19" s="357"/>
      <c r="X19" s="358" t="str">
        <f t="shared" si="0"/>
        <v/>
      </c>
      <c r="Y19" s="358"/>
      <c r="Z19" s="367" t="str">
        <f t="shared" si="3"/>
        <v/>
      </c>
      <c r="AA19" s="374"/>
      <c r="AD19" s="37" t="e">
        <f t="shared" si="4"/>
        <v>#VALUE!</v>
      </c>
      <c r="AE19" s="37" t="e">
        <f t="shared" si="5"/>
        <v>#VALUE!</v>
      </c>
      <c r="AG19" s="40" t="b">
        <v>0</v>
      </c>
      <c r="AH19" s="37" t="str">
        <f t="shared" si="6"/>
        <v>エラー</v>
      </c>
      <c r="AI19" s="37" t="str">
        <f t="shared" si="7"/>
        <v>エラー</v>
      </c>
      <c r="AK19" s="37" t="e">
        <f>IF(共通条件・結果!$AA$7="８（Ⅵ）",0.01*(16+19*(2*R19+T19)/P19),0.01*(16+24*(2*R19+T19)/P19))</f>
        <v>#DIV/0!</v>
      </c>
      <c r="AL19" s="37" t="e">
        <f t="shared" si="8"/>
        <v>#DIV/0!</v>
      </c>
      <c r="AN19" s="37" t="e">
        <f>IF(共通条件・結果!$AA$7="８地域",H19,IF(AO19="FALSE",H19,IF(L19="風除室",1/((1/H19)+0.1),0.5*H19+0.5*(1/((1/H19)+AO19)))))</f>
        <v>#DIV/0!</v>
      </c>
      <c r="AO19" s="39" t="b">
        <f t="shared" si="1"/>
        <v>0</v>
      </c>
    </row>
    <row r="20" spans="2:41" s="37" customFormat="1" ht="21.95" customHeight="1" thickBot="1">
      <c r="B20" s="408" t="s">
        <v>129</v>
      </c>
      <c r="C20" s="409"/>
      <c r="D20" s="409"/>
      <c r="E20" s="409"/>
      <c r="F20" s="409"/>
      <c r="G20" s="409"/>
      <c r="H20" s="409"/>
      <c r="I20" s="409"/>
      <c r="J20" s="409"/>
      <c r="K20" s="409"/>
      <c r="L20" s="409"/>
      <c r="M20" s="409"/>
      <c r="N20" s="409"/>
      <c r="O20" s="409"/>
      <c r="P20" s="409"/>
      <c r="Q20" s="409"/>
      <c r="R20" s="409"/>
      <c r="S20" s="409"/>
      <c r="T20" s="409"/>
      <c r="U20" s="409"/>
      <c r="V20" s="344">
        <f>SUM(V8:W19)</f>
        <v>0</v>
      </c>
      <c r="W20" s="344"/>
      <c r="X20" s="344">
        <f>SUM(X8:Y19)</f>
        <v>0</v>
      </c>
      <c r="Y20" s="344"/>
      <c r="Z20" s="344">
        <f>SUM(Z8:AA19)</f>
        <v>0</v>
      </c>
      <c r="AA20" s="345"/>
    </row>
    <row r="21" spans="2:41" s="37" customFormat="1" ht="9.9499999999999993" customHeight="1">
      <c r="AN21" s="401"/>
      <c r="AO21" s="401"/>
    </row>
    <row r="22" spans="2:41" s="37" customFormat="1" ht="21.95" customHeight="1" thickBot="1">
      <c r="J22" s="38" t="s">
        <v>15</v>
      </c>
      <c r="K22" s="38"/>
      <c r="L22" s="38"/>
    </row>
    <row r="23" spans="2:41" s="37" customFormat="1" ht="21.95" customHeight="1">
      <c r="J23" s="465" t="s">
        <v>16</v>
      </c>
      <c r="K23" s="486"/>
      <c r="L23" s="486"/>
      <c r="M23" s="466"/>
      <c r="N23" s="361" t="s">
        <v>91</v>
      </c>
      <c r="O23" s="361"/>
      <c r="P23" s="361"/>
      <c r="Q23" s="361"/>
      <c r="R23" s="361" t="s">
        <v>7</v>
      </c>
      <c r="S23" s="361"/>
      <c r="T23" s="402" t="s">
        <v>10</v>
      </c>
      <c r="U23" s="403"/>
      <c r="V23" s="360" t="s">
        <v>68</v>
      </c>
      <c r="W23" s="361"/>
      <c r="X23" s="360" t="s">
        <v>67</v>
      </c>
      <c r="Y23" s="361"/>
      <c r="Z23" s="361" t="s">
        <v>13</v>
      </c>
      <c r="AA23" s="363"/>
      <c r="AN23" s="401" t="s">
        <v>89</v>
      </c>
      <c r="AO23" s="401"/>
    </row>
    <row r="24" spans="2:41" s="37" customFormat="1" ht="21.95" customHeight="1" thickBot="1">
      <c r="J24" s="467"/>
      <c r="K24" s="475"/>
      <c r="L24" s="475"/>
      <c r="M24" s="438"/>
      <c r="N24" s="405" t="s">
        <v>9</v>
      </c>
      <c r="O24" s="406"/>
      <c r="P24" s="407" t="s">
        <v>8</v>
      </c>
      <c r="Q24" s="362"/>
      <c r="R24" s="362"/>
      <c r="S24" s="362"/>
      <c r="T24" s="404"/>
      <c r="U24" s="404"/>
      <c r="V24" s="362"/>
      <c r="W24" s="362"/>
      <c r="X24" s="362"/>
      <c r="Y24" s="362"/>
      <c r="Z24" s="362"/>
      <c r="AA24" s="364"/>
      <c r="AN24" s="97" t="s">
        <v>87</v>
      </c>
      <c r="AO24" s="37" t="s">
        <v>85</v>
      </c>
    </row>
    <row r="25" spans="2:41" s="37" customFormat="1" ht="21.95" customHeight="1">
      <c r="C25" s="41"/>
      <c r="D25" s="41"/>
      <c r="E25" s="41"/>
      <c r="F25" s="41"/>
      <c r="G25" s="41"/>
      <c r="H25" s="41"/>
      <c r="I25" s="41"/>
      <c r="J25" s="433"/>
      <c r="K25" s="487"/>
      <c r="L25" s="487"/>
      <c r="M25" s="446"/>
      <c r="N25" s="435"/>
      <c r="O25" s="436"/>
      <c r="P25" s="436"/>
      <c r="Q25" s="437"/>
      <c r="R25" s="392"/>
      <c r="S25" s="392"/>
      <c r="T25" s="485"/>
      <c r="U25" s="485"/>
      <c r="V25" s="368" t="str">
        <f>IF(N25="","",N25*P25*R25*0.034*$V$4)</f>
        <v/>
      </c>
      <c r="W25" s="368"/>
      <c r="X25" s="368" t="str">
        <f>IF(N25="","",IF(ISERROR(N25*P25*R25*0.034*$X$4),"-",N25*P25*R25*0.034*$X$4))</f>
        <v/>
      </c>
      <c r="Y25" s="368"/>
      <c r="Z25" s="368" t="str">
        <f>IF(N25="","",N25*P25*AN25)</f>
        <v/>
      </c>
      <c r="AA25" s="369"/>
      <c r="AN25" s="37">
        <f>IF(共通条件・結果!$AA$7="８地域",R25,IF(AO25="FALSE",R25,IF(T25="風除室",1/((1/R25)+0.1),0.5*R25+0.5*(1/((1/R25)+AO25)))))</f>
        <v>0</v>
      </c>
      <c r="AO25" s="39" t="str">
        <f>IF(T25="","FALSE",IF(T25="雨戸",0.1,IF(T25="ｼｬｯﾀｰ",0.1,IF(T25="障子",0.18,IF(T25="風除室",0.1)))))</f>
        <v>FALSE</v>
      </c>
    </row>
    <row r="26" spans="2:41" s="37" customFormat="1" ht="21.95" customHeight="1">
      <c r="C26" s="41"/>
      <c r="D26" s="41"/>
      <c r="E26" s="41"/>
      <c r="F26" s="41"/>
      <c r="G26" s="41"/>
      <c r="H26" s="41"/>
      <c r="I26" s="41"/>
      <c r="J26" s="419"/>
      <c r="K26" s="494"/>
      <c r="L26" s="494"/>
      <c r="M26" s="445"/>
      <c r="N26" s="488"/>
      <c r="O26" s="492"/>
      <c r="P26" s="493"/>
      <c r="Q26" s="489"/>
      <c r="R26" s="488"/>
      <c r="S26" s="489"/>
      <c r="T26" s="495"/>
      <c r="U26" s="496"/>
      <c r="V26" s="356" t="str">
        <f>IF(N26="","",N26*P26*R26*0.034*$V$4)</f>
        <v/>
      </c>
      <c r="W26" s="357"/>
      <c r="X26" s="356" t="str">
        <f>IF(N26="","",IF(ISERROR(N26*P26*R26*0.034*$X$4),"-",N26*P26*R26*0.034*$X$4))</f>
        <v/>
      </c>
      <c r="Y26" s="357"/>
      <c r="Z26" s="356" t="str">
        <f>IF(N26="","",N26*P26*AN26)</f>
        <v/>
      </c>
      <c r="AA26" s="375"/>
      <c r="AN26" s="37">
        <f>IF(共通条件・結果!$AA$7="８地域",R26,IF(AO26="FALSE",R26,IF(T26="風除室",1/((1/R26)+0.1),0.5*R26+0.5*(1/((1/R26)+AO26)))))</f>
        <v>0</v>
      </c>
      <c r="AO26" s="95" t="str">
        <f>IF(T26="","FALSE",IF(T26="雨戸",0.1,IF(T26="ｼｬｯﾀｰ",0.1,IF(T26="障子",0.18,IF(T26="風除室",0.1)))))</f>
        <v>FALSE</v>
      </c>
    </row>
    <row r="27" spans="2:41" s="37" customFormat="1" ht="21.95" customHeight="1" thickBot="1">
      <c r="C27" s="41"/>
      <c r="D27" s="41"/>
      <c r="E27" s="41"/>
      <c r="F27" s="41"/>
      <c r="G27" s="41"/>
      <c r="H27" s="41"/>
      <c r="I27" s="41"/>
      <c r="J27" s="350"/>
      <c r="K27" s="464"/>
      <c r="L27" s="464"/>
      <c r="M27" s="351"/>
      <c r="N27" s="394"/>
      <c r="O27" s="395"/>
      <c r="P27" s="395"/>
      <c r="Q27" s="396"/>
      <c r="R27" s="397"/>
      <c r="S27" s="397"/>
      <c r="T27" s="398" t="s">
        <v>65</v>
      </c>
      <c r="U27" s="398"/>
      <c r="V27" s="399" t="str">
        <f>IF(N27="","",N27*P27*R27*0.034*$V$4)</f>
        <v/>
      </c>
      <c r="W27" s="399"/>
      <c r="X27" s="399" t="str">
        <f>IF(N27="","",IF(ISERROR(N27*P27*R27*0.034*$X$4),"-",N27*P27*R27*0.034*$X$4))</f>
        <v/>
      </c>
      <c r="Y27" s="399"/>
      <c r="Z27" s="399" t="str">
        <f>IF(N27="","",N27*P27*AN27)</f>
        <v/>
      </c>
      <c r="AA27" s="400"/>
      <c r="AN27" s="37" t="e">
        <f>IF(共通条件・結果!$AA$7="８地域",R27,IF(AO27="FALSE",R27,IF(T27="風除室",1/((1/R27)+0.1),0.5*R27+0.5*(1/((1/R27)+AO27)))))</f>
        <v>#DIV/0!</v>
      </c>
      <c r="AO27" s="39" t="b">
        <f>IF(T27="","FALSE",IF(T27="雨戸",0.1,IF(T27="ｼｬｯﾀｰ",0.1,IF(T27="障子",0.18,IF(T27="風除室",0.1)))))</f>
        <v>0</v>
      </c>
    </row>
    <row r="28" spans="2:41" s="37" customFormat="1" ht="21.95" customHeight="1" thickBot="1">
      <c r="C28" s="41"/>
      <c r="D28" s="41"/>
      <c r="E28" s="41"/>
      <c r="F28" s="41"/>
      <c r="G28" s="41"/>
      <c r="H28" s="41"/>
      <c r="I28" s="41"/>
      <c r="J28" s="408" t="s">
        <v>147</v>
      </c>
      <c r="K28" s="409"/>
      <c r="L28" s="409"/>
      <c r="M28" s="409"/>
      <c r="N28" s="409"/>
      <c r="O28" s="409"/>
      <c r="P28" s="409"/>
      <c r="Q28" s="409"/>
      <c r="R28" s="409"/>
      <c r="S28" s="409"/>
      <c r="T28" s="409"/>
      <c r="U28" s="468"/>
      <c r="V28" s="344">
        <f>SUM(V25:W27)</f>
        <v>0</v>
      </c>
      <c r="W28" s="344"/>
      <c r="X28" s="344">
        <f>SUM(X25:Y27)</f>
        <v>0</v>
      </c>
      <c r="Y28" s="344"/>
      <c r="Z28" s="344">
        <f>SUM(Z25:AA27)</f>
        <v>0</v>
      </c>
      <c r="AA28" s="345"/>
      <c r="AO28" s="39"/>
    </row>
    <row r="29" spans="2:41" s="37" customFormat="1" ht="9.9499999999999993" customHeight="1">
      <c r="C29" s="41"/>
      <c r="D29" s="41"/>
      <c r="E29" s="41"/>
      <c r="F29" s="41"/>
      <c r="G29" s="41"/>
      <c r="H29" s="41"/>
      <c r="I29" s="41"/>
      <c r="J29" s="41"/>
      <c r="AO29" s="39"/>
    </row>
    <row r="30" spans="2:41" s="37" customFormat="1" ht="21.95" customHeight="1" thickBot="1">
      <c r="C30" s="41"/>
      <c r="D30" s="41"/>
      <c r="E30" s="41"/>
      <c r="F30" s="41"/>
      <c r="G30" s="41"/>
      <c r="H30" s="41"/>
      <c r="I30" s="41"/>
      <c r="J30" s="38" t="s">
        <v>17</v>
      </c>
      <c r="K30" s="38"/>
      <c r="L30" s="38"/>
      <c r="AO30" s="39"/>
    </row>
    <row r="31" spans="2:41" s="37" customFormat="1" ht="21.95" customHeight="1">
      <c r="C31" s="41"/>
      <c r="D31" s="41"/>
      <c r="E31" s="41"/>
      <c r="F31" s="41"/>
      <c r="G31" s="41"/>
      <c r="H31" s="41"/>
      <c r="I31" s="41"/>
      <c r="J31" s="465" t="s">
        <v>0</v>
      </c>
      <c r="K31" s="466"/>
      <c r="L31" s="376" t="s">
        <v>53</v>
      </c>
      <c r="M31" s="377"/>
      <c r="N31" s="376" t="s">
        <v>170</v>
      </c>
      <c r="O31" s="377"/>
      <c r="P31" s="380" t="s">
        <v>54</v>
      </c>
      <c r="Q31" s="381"/>
      <c r="R31" s="361" t="s">
        <v>7</v>
      </c>
      <c r="S31" s="361"/>
      <c r="T31" s="384" t="s">
        <v>150</v>
      </c>
      <c r="U31" s="385"/>
      <c r="V31" s="360" t="s">
        <v>68</v>
      </c>
      <c r="W31" s="361"/>
      <c r="X31" s="360" t="s">
        <v>67</v>
      </c>
      <c r="Y31" s="361"/>
      <c r="Z31" s="361" t="s">
        <v>13</v>
      </c>
      <c r="AA31" s="363"/>
      <c r="AO31" s="39"/>
    </row>
    <row r="32" spans="2:41" s="37" customFormat="1" ht="21.95" customHeight="1" thickBot="1">
      <c r="C32" s="41"/>
      <c r="D32" s="41"/>
      <c r="E32" s="41"/>
      <c r="F32" s="41"/>
      <c r="G32" s="41"/>
      <c r="H32" s="41"/>
      <c r="I32" s="41"/>
      <c r="J32" s="467"/>
      <c r="K32" s="438"/>
      <c r="L32" s="378"/>
      <c r="M32" s="379"/>
      <c r="N32" s="378"/>
      <c r="O32" s="379"/>
      <c r="P32" s="382"/>
      <c r="Q32" s="383"/>
      <c r="R32" s="362"/>
      <c r="S32" s="362"/>
      <c r="T32" s="386"/>
      <c r="U32" s="387"/>
      <c r="V32" s="362"/>
      <c r="W32" s="362"/>
      <c r="X32" s="362"/>
      <c r="Y32" s="362"/>
      <c r="Z32" s="362"/>
      <c r="AA32" s="364"/>
      <c r="AE32" s="37" t="s">
        <v>140</v>
      </c>
      <c r="AF32" s="37" t="s">
        <v>141</v>
      </c>
    </row>
    <row r="33" spans="2:32" s="37" customFormat="1" ht="21.95" customHeight="1">
      <c r="C33" s="41"/>
      <c r="D33" s="41"/>
      <c r="E33" s="41"/>
      <c r="F33" s="41"/>
      <c r="G33" s="41"/>
      <c r="H33" s="41"/>
      <c r="I33" s="41"/>
      <c r="J33" s="433" t="s">
        <v>1</v>
      </c>
      <c r="K33" s="446"/>
      <c r="L33" s="388">
        <v>0</v>
      </c>
      <c r="M33" s="389"/>
      <c r="N33" s="388">
        <f>Q41+U41</f>
        <v>0</v>
      </c>
      <c r="O33" s="389"/>
      <c r="P33" s="390">
        <f>IF(L33="","",L33-N33)</f>
        <v>0</v>
      </c>
      <c r="Q33" s="391"/>
      <c r="R33" s="392">
        <f>ROUND((IF(L33="","",部位U計算!$F$52)),3)</f>
        <v>0.49</v>
      </c>
      <c r="S33" s="392"/>
      <c r="T33" s="393"/>
      <c r="U33" s="393"/>
      <c r="V33" s="368">
        <f>IF(P33="","",IF(AD33=TRUE,0,P33*R33*0.034*$V$4))</f>
        <v>0</v>
      </c>
      <c r="W33" s="368"/>
      <c r="X33" s="500">
        <f>IF(P33="","",IF(ISERROR(P33*R33*0.034*$X$4),"-",IF(AD33=TRUE,0,P33*R33*0.034*$X$4)))</f>
        <v>0</v>
      </c>
      <c r="Y33" s="501"/>
      <c r="Z33" s="368">
        <f>IF(R33="","",IF(AD33=TRUE,0.7*R33*P33,R33*P33))</f>
        <v>0</v>
      </c>
      <c r="AA33" s="369"/>
      <c r="AD33" s="40" t="b">
        <v>0</v>
      </c>
      <c r="AE33" s="40">
        <f>IF(AD33=TRUE,0.7,1)</f>
        <v>1</v>
      </c>
      <c r="AF33" s="40" t="str">
        <f>IF(AD33=TRUE,0,"セル")</f>
        <v>セル</v>
      </c>
    </row>
    <row r="34" spans="2:32" s="37" customFormat="1" ht="21.95" customHeight="1">
      <c r="C34" s="41"/>
      <c r="D34" s="41"/>
      <c r="E34" s="41"/>
      <c r="F34" s="41"/>
      <c r="G34" s="41"/>
      <c r="H34" s="41"/>
      <c r="I34" s="41"/>
      <c r="J34" s="419" t="s">
        <v>387</v>
      </c>
      <c r="K34" s="445"/>
      <c r="L34" s="488">
        <v>0</v>
      </c>
      <c r="M34" s="489"/>
      <c r="N34" s="488"/>
      <c r="O34" s="489"/>
      <c r="P34" s="490">
        <f t="shared" ref="P34:P35" si="18">IF(L34="","",L34-N34)</f>
        <v>0</v>
      </c>
      <c r="Q34" s="491"/>
      <c r="R34" s="488">
        <f>ROUND(IF(L34="","",部位U計算!$F$100),2)</f>
        <v>0.49</v>
      </c>
      <c r="S34" s="489"/>
      <c r="T34" s="498"/>
      <c r="U34" s="499"/>
      <c r="V34" s="356">
        <f t="shared" ref="V34:V35" si="19">IF(P34="","",IF(AD34=TRUE,0,P34*R34*0.034*$V$4))</f>
        <v>0</v>
      </c>
      <c r="W34" s="357"/>
      <c r="X34" s="356">
        <f t="shared" ref="X34:X35" si="20">IF(P34="","",IF(ISERROR(P34*R34*0.034*$X$4),"-",IF(AD34=TRUE,0,P34*R34*0.034*$X$4)))</f>
        <v>0</v>
      </c>
      <c r="Y34" s="357"/>
      <c r="Z34" s="356">
        <f t="shared" ref="Z34:Z35" si="21">IF(R34="","",IF(AD34=TRUE,0.7*R34*P34,R34*P34))</f>
        <v>0</v>
      </c>
      <c r="AA34" s="375"/>
      <c r="AD34" s="40" t="b">
        <v>0</v>
      </c>
      <c r="AE34" s="40">
        <f t="shared" ref="AE34:AE35" si="22">IF(AD34=TRUE,0.7,1)</f>
        <v>1</v>
      </c>
      <c r="AF34" s="40" t="str">
        <f t="shared" ref="AF34:AF35" si="23">IF(AD34=TRUE,0,"セル")</f>
        <v>セル</v>
      </c>
    </row>
    <row r="35" spans="2:32" s="37" customFormat="1" ht="21.95" customHeight="1">
      <c r="C35" s="41"/>
      <c r="D35" s="41"/>
      <c r="E35" s="41"/>
      <c r="F35" s="41"/>
      <c r="G35" s="41"/>
      <c r="H35" s="41"/>
      <c r="I35" s="41"/>
      <c r="J35" s="419" t="s">
        <v>387</v>
      </c>
      <c r="K35" s="445"/>
      <c r="L35" s="488">
        <v>0</v>
      </c>
      <c r="M35" s="489"/>
      <c r="N35" s="488"/>
      <c r="O35" s="489"/>
      <c r="P35" s="490">
        <f t="shared" si="18"/>
        <v>0</v>
      </c>
      <c r="Q35" s="491"/>
      <c r="R35" s="488">
        <f>ROUND(IF(L35="","",部位U計算!$F$114),2)</f>
        <v>1.18</v>
      </c>
      <c r="S35" s="489"/>
      <c r="T35" s="498"/>
      <c r="U35" s="499"/>
      <c r="V35" s="356">
        <f t="shared" si="19"/>
        <v>0</v>
      </c>
      <c r="W35" s="357"/>
      <c r="X35" s="356">
        <f t="shared" si="20"/>
        <v>0</v>
      </c>
      <c r="Y35" s="357"/>
      <c r="Z35" s="356">
        <f t="shared" si="21"/>
        <v>0</v>
      </c>
      <c r="AA35" s="375"/>
      <c r="AD35" s="40" t="b">
        <v>1</v>
      </c>
      <c r="AE35" s="40">
        <f t="shared" si="22"/>
        <v>0.7</v>
      </c>
      <c r="AF35" s="40">
        <f t="shared" si="23"/>
        <v>0</v>
      </c>
    </row>
    <row r="36" spans="2:32" s="37" customFormat="1" ht="21.95" customHeight="1">
      <c r="C36" s="41"/>
      <c r="D36" s="41"/>
      <c r="E36" s="41"/>
      <c r="F36" s="41"/>
      <c r="G36" s="41"/>
      <c r="H36" s="41"/>
      <c r="I36" s="41"/>
      <c r="J36" s="419" t="s">
        <v>388</v>
      </c>
      <c r="K36" s="445"/>
      <c r="L36" s="488">
        <v>0</v>
      </c>
      <c r="M36" s="489"/>
      <c r="N36" s="488"/>
      <c r="O36" s="489"/>
      <c r="P36" s="490">
        <f>IF(L36="","",L36-N36)</f>
        <v>0</v>
      </c>
      <c r="Q36" s="491"/>
      <c r="R36" s="370">
        <f>ROUND(IF(L36="","",部位U計算!$F$128),2)</f>
        <v>0.49</v>
      </c>
      <c r="S36" s="370"/>
      <c r="T36" s="371"/>
      <c r="U36" s="371"/>
      <c r="V36" s="358">
        <f>IF(P36="","",IF(AD36=TRUE,0,P36*R36*0.034*$V$4))</f>
        <v>0</v>
      </c>
      <c r="W36" s="358"/>
      <c r="X36" s="356">
        <f>IF(P36="","",IF(ISERROR(P36*R36*0.034*$X$4),"-",IF(AD36=TRUE,0,P36*R36*0.034*$X$4)))</f>
        <v>0</v>
      </c>
      <c r="Y36" s="357"/>
      <c r="Z36" s="358">
        <f>IF(R36="","",IF(AD36=TRUE,0.7*R36*P36,R36*P36))</f>
        <v>0</v>
      </c>
      <c r="AA36" s="359"/>
      <c r="AD36" s="40" t="b">
        <v>0</v>
      </c>
      <c r="AE36" s="40">
        <f>IF(AD36=TRUE,0.7,1)</f>
        <v>1</v>
      </c>
      <c r="AF36" s="40" t="str">
        <f>IF(AD36=TRUE,0,"セル")</f>
        <v>セル</v>
      </c>
    </row>
    <row r="37" spans="2:32" s="37" customFormat="1" ht="21.95" customHeight="1" thickBot="1">
      <c r="J37" s="350" t="s">
        <v>388</v>
      </c>
      <c r="K37" s="351"/>
      <c r="L37" s="346">
        <v>0</v>
      </c>
      <c r="M37" s="347"/>
      <c r="N37" s="346"/>
      <c r="O37" s="347"/>
      <c r="P37" s="348">
        <f>IF(L37="","",L37-N37)</f>
        <v>0</v>
      </c>
      <c r="Q37" s="349"/>
      <c r="R37" s="365">
        <f>ROUND(IF(L37="","",部位U計算!$F$142),2)</f>
        <v>1.18</v>
      </c>
      <c r="S37" s="365"/>
      <c r="T37" s="366"/>
      <c r="U37" s="366"/>
      <c r="V37" s="367">
        <f>IF(P37="","",IF(AD37=TRUE,0,P37*R37*0.034*$V$4))</f>
        <v>0</v>
      </c>
      <c r="W37" s="367"/>
      <c r="X37" s="372">
        <f>IF(P37="","",IF(ISERROR(P37*R37*0.034*$X$4),"-",IF(AD37=TRUE,0,P37*R37*0.034*$X$4)))</f>
        <v>0</v>
      </c>
      <c r="Y37" s="373"/>
      <c r="Z37" s="367">
        <f>IF(R37="","",IF(AD37=TRUE,0.7*R37*P37,R37*P37))</f>
        <v>0</v>
      </c>
      <c r="AA37" s="374"/>
      <c r="AD37" s="40" t="b">
        <v>1</v>
      </c>
      <c r="AE37" s="40">
        <f>IF(AD37=TRUE,0.7,1)</f>
        <v>0.7</v>
      </c>
      <c r="AF37" s="40">
        <f>IF(AD37=TRUE,0,"セル")</f>
        <v>0</v>
      </c>
    </row>
    <row r="38" spans="2:32" s="37" customFormat="1" ht="21.95" customHeight="1" thickBot="1">
      <c r="J38" s="408" t="s">
        <v>130</v>
      </c>
      <c r="K38" s="409"/>
      <c r="L38" s="409"/>
      <c r="M38" s="409"/>
      <c r="N38" s="409"/>
      <c r="O38" s="409"/>
      <c r="P38" s="409"/>
      <c r="Q38" s="409"/>
      <c r="R38" s="409"/>
      <c r="S38" s="409"/>
      <c r="T38" s="409"/>
      <c r="U38" s="468"/>
      <c r="V38" s="344">
        <f>SUM(V33:W37)</f>
        <v>0</v>
      </c>
      <c r="W38" s="344"/>
      <c r="X38" s="344">
        <f>SUM(X33:Y37)</f>
        <v>0</v>
      </c>
      <c r="Y38" s="344"/>
      <c r="Z38" s="344">
        <f>SUM(Z33:AA37)</f>
        <v>0</v>
      </c>
      <c r="AA38" s="345"/>
    </row>
    <row r="39" spans="2:32" s="37" customFormat="1" ht="9.9499999999999993" customHeight="1"/>
    <row r="40" spans="2:32" s="37" customFormat="1" ht="21.95" customHeight="1" thickBot="1">
      <c r="B40" s="38" t="s">
        <v>131</v>
      </c>
    </row>
    <row r="41" spans="2:32" s="37" customFormat="1" ht="21.95" customHeight="1">
      <c r="B41" s="327" t="s">
        <v>106</v>
      </c>
      <c r="C41" s="328"/>
      <c r="D41" s="333" t="s">
        <v>56</v>
      </c>
      <c r="E41" s="334"/>
      <c r="F41" s="334"/>
      <c r="G41" s="334"/>
      <c r="H41" s="334"/>
      <c r="I41" s="334"/>
      <c r="J41" s="335"/>
      <c r="K41" s="42"/>
      <c r="L41" s="336">
        <f>Q41+U41+Y41</f>
        <v>0</v>
      </c>
      <c r="M41" s="336"/>
      <c r="N41" s="336"/>
      <c r="O41" s="42" t="s">
        <v>24</v>
      </c>
      <c r="P41" s="43" t="s">
        <v>23</v>
      </c>
      <c r="Q41" s="337">
        <f>D8*F8+D9*F9+D10*F10+D11*F11+D12*F12+D13*F13+D14*F14+D15*F15+D16*F16+D17*F17+D18*F18+D19*F19</f>
        <v>0</v>
      </c>
      <c r="R41" s="337"/>
      <c r="S41" s="44" t="s">
        <v>25</v>
      </c>
      <c r="T41" s="44" t="s">
        <v>22</v>
      </c>
      <c r="U41" s="338">
        <f>N25*P25+N26*P26+N27*P27</f>
        <v>0</v>
      </c>
      <c r="V41" s="338"/>
      <c r="W41" s="44" t="s">
        <v>25</v>
      </c>
      <c r="X41" s="44" t="s">
        <v>1</v>
      </c>
      <c r="Y41" s="339">
        <f>SUM(P33:Q37)</f>
        <v>0</v>
      </c>
      <c r="Z41" s="339"/>
      <c r="AA41" s="45" t="s">
        <v>19</v>
      </c>
    </row>
    <row r="42" spans="2:32" s="37" customFormat="1" ht="21.95" customHeight="1">
      <c r="B42" s="329"/>
      <c r="C42" s="330"/>
      <c r="D42" s="340" t="s">
        <v>72</v>
      </c>
      <c r="E42" s="341"/>
      <c r="F42" s="341"/>
      <c r="G42" s="341"/>
      <c r="H42" s="341"/>
      <c r="I42" s="341"/>
      <c r="J42" s="342"/>
      <c r="K42" s="46"/>
      <c r="L42" s="46"/>
      <c r="M42" s="46"/>
      <c r="N42" s="46"/>
      <c r="O42" s="46"/>
      <c r="P42" s="46"/>
      <c r="Q42" s="46"/>
      <c r="R42" s="46"/>
      <c r="S42" s="46"/>
      <c r="T42" s="46"/>
      <c r="U42" s="46"/>
      <c r="V42" s="46"/>
      <c r="W42" s="343">
        <f>V20+V28+V38</f>
        <v>0</v>
      </c>
      <c r="X42" s="343"/>
      <c r="Y42" s="343"/>
      <c r="Z42" s="46"/>
      <c r="AA42" s="47"/>
    </row>
    <row r="43" spans="2:32" s="37" customFormat="1" ht="21.95" customHeight="1">
      <c r="B43" s="329"/>
      <c r="C43" s="330"/>
      <c r="D43" s="340" t="s">
        <v>73</v>
      </c>
      <c r="E43" s="341"/>
      <c r="F43" s="341"/>
      <c r="G43" s="341"/>
      <c r="H43" s="341"/>
      <c r="I43" s="341"/>
      <c r="J43" s="342"/>
      <c r="K43" s="46"/>
      <c r="L43" s="46"/>
      <c r="M43" s="46"/>
      <c r="N43" s="46"/>
      <c r="O43" s="46"/>
      <c r="P43" s="46"/>
      <c r="Q43" s="46"/>
      <c r="R43" s="46"/>
      <c r="S43" s="46"/>
      <c r="T43" s="46"/>
      <c r="U43" s="46"/>
      <c r="V43" s="46"/>
      <c r="W43" s="343">
        <f>X20+X28+X38</f>
        <v>0</v>
      </c>
      <c r="X43" s="343"/>
      <c r="Y43" s="343"/>
      <c r="Z43" s="46"/>
      <c r="AA43" s="47"/>
    </row>
    <row r="44" spans="2:32" s="37" customFormat="1" ht="21.95" customHeight="1" thickBot="1">
      <c r="B44" s="331"/>
      <c r="C44" s="332"/>
      <c r="D44" s="352" t="s">
        <v>20</v>
      </c>
      <c r="E44" s="353"/>
      <c r="F44" s="353"/>
      <c r="G44" s="353"/>
      <c r="H44" s="353"/>
      <c r="I44" s="353"/>
      <c r="J44" s="354"/>
      <c r="K44" s="48"/>
      <c r="L44" s="48"/>
      <c r="M44" s="48"/>
      <c r="N44" s="48"/>
      <c r="O44" s="48"/>
      <c r="P44" s="48"/>
      <c r="Q44" s="48"/>
      <c r="R44" s="48"/>
      <c r="S44" s="48"/>
      <c r="T44" s="48"/>
      <c r="U44" s="48"/>
      <c r="V44" s="48"/>
      <c r="W44" s="355">
        <f>Z20+Z28+Z38</f>
        <v>0</v>
      </c>
      <c r="X44" s="355"/>
      <c r="Y44" s="355"/>
      <c r="Z44" s="49" t="s">
        <v>21</v>
      </c>
      <c r="AA44" s="50"/>
    </row>
    <row r="45" spans="2:32" s="37" customFormat="1" ht="21.95" customHeight="1"/>
    <row r="46" spans="2:32" s="37" customFormat="1" ht="21.95" customHeight="1"/>
    <row r="47" spans="2:32" s="37" customFormat="1" ht="21.95" customHeight="1"/>
    <row r="48" spans="2:32" s="37" customFormat="1" ht="21.95" customHeight="1"/>
    <row r="49" s="37" customFormat="1" ht="21.95" customHeight="1"/>
    <row r="50" s="37" customFormat="1" ht="21.95" customHeight="1"/>
    <row r="51" s="37" customFormat="1" ht="21.95" customHeight="1"/>
    <row r="52" s="37" customFormat="1" ht="21.95" customHeight="1"/>
    <row r="53" s="37" customFormat="1" ht="21.95" customHeight="1"/>
    <row r="54" s="37" customFormat="1" ht="21.95" customHeight="1"/>
    <row r="55" s="37" customFormat="1" ht="21.95" customHeight="1"/>
    <row r="56" s="37" customFormat="1" ht="21.95" customHeight="1"/>
    <row r="57" s="37" customFormat="1" ht="21.95" customHeight="1"/>
    <row r="58" s="37" customFormat="1" ht="21.95" customHeight="1"/>
    <row r="59" s="37" customFormat="1" ht="21.95" customHeight="1"/>
    <row r="60" s="37" customFormat="1" ht="21.95" customHeight="1"/>
    <row r="61" s="37" customFormat="1" ht="24.95" customHeight="1"/>
    <row r="62" s="37" customFormat="1" ht="24.95" customHeight="1"/>
    <row r="63" s="37" customFormat="1" ht="24.95" customHeight="1"/>
    <row r="64" s="37" customFormat="1" ht="24.95" customHeight="1"/>
    <row r="65" s="37" customFormat="1" ht="24.95" customHeight="1"/>
    <row r="66" s="37" customFormat="1" ht="24.95" customHeight="1"/>
    <row r="67" s="37" customFormat="1" ht="24.95" customHeight="1"/>
    <row r="68" s="37" customFormat="1" ht="24.95" customHeight="1"/>
    <row r="69" s="37" customFormat="1" ht="24.95" customHeight="1"/>
    <row r="70" s="37" customFormat="1" ht="24.95" customHeight="1"/>
    <row r="71" s="37" customFormat="1" ht="24.95" customHeight="1"/>
    <row r="72" s="37" customFormat="1" ht="24.95" customHeight="1"/>
    <row r="73" s="37" customFormat="1" ht="24.95" customHeight="1"/>
    <row r="74" s="37" customFormat="1" ht="24.95" customHeight="1"/>
    <row r="75" s="37" customFormat="1" ht="24.95" customHeight="1"/>
    <row r="76" s="37" customFormat="1" ht="24.95" customHeight="1"/>
    <row r="77" s="37" customFormat="1" ht="24.95" customHeight="1"/>
    <row r="78" s="37" customFormat="1" ht="24.95" customHeight="1"/>
    <row r="79" s="37" customFormat="1" ht="24.95" customHeight="1"/>
    <row r="80" s="37" customFormat="1" ht="24.95" customHeight="1"/>
    <row r="81" s="37" customFormat="1" ht="24.95" customHeight="1"/>
    <row r="82" s="37" customFormat="1" ht="24.95" customHeight="1"/>
    <row r="83" s="37" customFormat="1" ht="24.95" customHeight="1"/>
    <row r="84" s="37" customFormat="1" ht="24.95" customHeight="1"/>
    <row r="85" s="37" customFormat="1" ht="24.95" customHeight="1"/>
    <row r="86" s="37" customFormat="1" ht="24.95" customHeight="1"/>
    <row r="87" s="37" customFormat="1" ht="24.95" customHeight="1"/>
    <row r="88" s="37" customFormat="1" ht="24.95" customHeight="1"/>
    <row r="89" s="37" customFormat="1" ht="24.95" customHeight="1"/>
    <row r="90" s="37" customFormat="1" ht="24.95" customHeight="1"/>
    <row r="91" s="37" customFormat="1" ht="24.95" customHeight="1"/>
    <row r="92" s="37" customFormat="1" ht="24.95" customHeight="1"/>
    <row r="93" s="37" customFormat="1" ht="24.95" customHeight="1"/>
    <row r="94" s="51" customFormat="1" ht="24.95" customHeight="1"/>
    <row r="95" s="51" customFormat="1"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sheetData>
  <sheetProtection algorithmName="SHA-512" hashValue="aGyMV+EeIGo/S14kfZBnN227JOk0QUHiQkUSCSc7YT0at3Bbg2D6/2AVhEKpWrEMFym3rPgvCH+/qXAA12J5Ig==" saltValue="QETEVIq339CgLfyXRVeaLw==" spinCount="100000" sheet="1" objects="1" scenarios="1" selectLockedCells="1"/>
  <mergeCells count="293">
    <mergeCell ref="L34:M34"/>
    <mergeCell ref="L35:M35"/>
    <mergeCell ref="N34:O34"/>
    <mergeCell ref="N35:O35"/>
    <mergeCell ref="R34:S34"/>
    <mergeCell ref="R35:S35"/>
    <mergeCell ref="P34:Q34"/>
    <mergeCell ref="P35:Q35"/>
    <mergeCell ref="V34:W34"/>
    <mergeCell ref="V35:W35"/>
    <mergeCell ref="T34:U34"/>
    <mergeCell ref="T35:U35"/>
    <mergeCell ref="V12:W12"/>
    <mergeCell ref="V13:W13"/>
    <mergeCell ref="X12:Y12"/>
    <mergeCell ref="X13:Y13"/>
    <mergeCell ref="Z12:AA12"/>
    <mergeCell ref="Z13:AA13"/>
    <mergeCell ref="N26:O26"/>
    <mergeCell ref="J26:M26"/>
    <mergeCell ref="P26:Q26"/>
    <mergeCell ref="R26:S26"/>
    <mergeCell ref="T26:U26"/>
    <mergeCell ref="V26:W26"/>
    <mergeCell ref="X26:Y26"/>
    <mergeCell ref="Z26:AA26"/>
    <mergeCell ref="N12:O12"/>
    <mergeCell ref="N13:O13"/>
    <mergeCell ref="L12:M12"/>
    <mergeCell ref="L13:M13"/>
    <mergeCell ref="P12:Q12"/>
    <mergeCell ref="P13:Q13"/>
    <mergeCell ref="R12:S12"/>
    <mergeCell ref="R13:S13"/>
    <mergeCell ref="T12:U12"/>
    <mergeCell ref="T13:U13"/>
    <mergeCell ref="B12:C12"/>
    <mergeCell ref="B13:C13"/>
    <mergeCell ref="D12:E12"/>
    <mergeCell ref="D13:E13"/>
    <mergeCell ref="F12:G12"/>
    <mergeCell ref="F13:G13"/>
    <mergeCell ref="H12:I12"/>
    <mergeCell ref="H13:I13"/>
    <mergeCell ref="J12:K12"/>
    <mergeCell ref="J13:K13"/>
    <mergeCell ref="J34:K34"/>
    <mergeCell ref="J35:K35"/>
    <mergeCell ref="J27:M27"/>
    <mergeCell ref="J31:K32"/>
    <mergeCell ref="J28:U28"/>
    <mergeCell ref="J38:U38"/>
    <mergeCell ref="D6:E7"/>
    <mergeCell ref="F6:G7"/>
    <mergeCell ref="N6:O7"/>
    <mergeCell ref="P6:U6"/>
    <mergeCell ref="N8:O8"/>
    <mergeCell ref="P8:Q8"/>
    <mergeCell ref="T10:U10"/>
    <mergeCell ref="T14:U14"/>
    <mergeCell ref="T16:U16"/>
    <mergeCell ref="N25:O25"/>
    <mergeCell ref="P25:Q25"/>
    <mergeCell ref="R25:S25"/>
    <mergeCell ref="T25:U25"/>
    <mergeCell ref="J23:M24"/>
    <mergeCell ref="J25:M25"/>
    <mergeCell ref="L36:M36"/>
    <mergeCell ref="N36:O36"/>
    <mergeCell ref="P36:Q36"/>
    <mergeCell ref="J36:K36"/>
    <mergeCell ref="J33:K33"/>
    <mergeCell ref="B2:AA2"/>
    <mergeCell ref="R4:U4"/>
    <mergeCell ref="V4:W4"/>
    <mergeCell ref="X4:Y4"/>
    <mergeCell ref="B5:C7"/>
    <mergeCell ref="D5:G5"/>
    <mergeCell ref="H5:I7"/>
    <mergeCell ref="J5:K7"/>
    <mergeCell ref="L5:M7"/>
    <mergeCell ref="N5:U5"/>
    <mergeCell ref="J8:K8"/>
    <mergeCell ref="L8:M8"/>
    <mergeCell ref="R8:S8"/>
    <mergeCell ref="T8:U8"/>
    <mergeCell ref="V8:W8"/>
    <mergeCell ref="J10:K10"/>
    <mergeCell ref="L10:M10"/>
    <mergeCell ref="N10:O10"/>
    <mergeCell ref="P10:Q10"/>
    <mergeCell ref="R10:S10"/>
    <mergeCell ref="X8:Y8"/>
    <mergeCell ref="Z8:AA8"/>
    <mergeCell ref="AD6:AE6"/>
    <mergeCell ref="AH6:AI6"/>
    <mergeCell ref="AK6:AL6"/>
    <mergeCell ref="AN6:AO6"/>
    <mergeCell ref="P7:Q7"/>
    <mergeCell ref="R7:S7"/>
    <mergeCell ref="T7:U7"/>
    <mergeCell ref="V5:W7"/>
    <mergeCell ref="X5:Y7"/>
    <mergeCell ref="Z5:AA7"/>
    <mergeCell ref="B9:C9"/>
    <mergeCell ref="D9:E9"/>
    <mergeCell ref="F9:G9"/>
    <mergeCell ref="H9:I9"/>
    <mergeCell ref="J9:K9"/>
    <mergeCell ref="L9:M9"/>
    <mergeCell ref="N9:O9"/>
    <mergeCell ref="P9:Q9"/>
    <mergeCell ref="R9:S9"/>
    <mergeCell ref="T9:U9"/>
    <mergeCell ref="V9:W9"/>
    <mergeCell ref="X9:Y9"/>
    <mergeCell ref="Z9:AA9"/>
    <mergeCell ref="B8:C8"/>
    <mergeCell ref="D8:E8"/>
    <mergeCell ref="F8:G8"/>
    <mergeCell ref="H8:I8"/>
    <mergeCell ref="L14:M14"/>
    <mergeCell ref="N14:O14"/>
    <mergeCell ref="P14:Q14"/>
    <mergeCell ref="R14:S14"/>
    <mergeCell ref="V10:W10"/>
    <mergeCell ref="X10:Y10"/>
    <mergeCell ref="Z10:AA10"/>
    <mergeCell ref="B11:C11"/>
    <mergeCell ref="D11:E11"/>
    <mergeCell ref="F11:G11"/>
    <mergeCell ref="H11:I11"/>
    <mergeCell ref="J11:K11"/>
    <mergeCell ref="L11:M11"/>
    <mergeCell ref="N11:O11"/>
    <mergeCell ref="P11:Q11"/>
    <mergeCell ref="R11:S11"/>
    <mergeCell ref="T11:U11"/>
    <mergeCell ref="V11:W11"/>
    <mergeCell ref="X11:Y11"/>
    <mergeCell ref="Z11:AA11"/>
    <mergeCell ref="B10:C10"/>
    <mergeCell ref="D10:E10"/>
    <mergeCell ref="F10:G10"/>
    <mergeCell ref="H10:I10"/>
    <mergeCell ref="N16:O16"/>
    <mergeCell ref="P16:Q16"/>
    <mergeCell ref="R16:S16"/>
    <mergeCell ref="V14:W14"/>
    <mergeCell ref="X14:Y14"/>
    <mergeCell ref="Z14:AA14"/>
    <mergeCell ref="B15:C15"/>
    <mergeCell ref="D15:E15"/>
    <mergeCell ref="F15:G15"/>
    <mergeCell ref="H15:I15"/>
    <mergeCell ref="J15:K15"/>
    <mergeCell ref="L15:M15"/>
    <mergeCell ref="N15:O15"/>
    <mergeCell ref="P15:Q15"/>
    <mergeCell ref="R15:S15"/>
    <mergeCell ref="T15:U15"/>
    <mergeCell ref="V15:W15"/>
    <mergeCell ref="X15:Y15"/>
    <mergeCell ref="Z15:AA15"/>
    <mergeCell ref="B14:C14"/>
    <mergeCell ref="D14:E14"/>
    <mergeCell ref="F14:G14"/>
    <mergeCell ref="H14:I14"/>
    <mergeCell ref="J14:K14"/>
    <mergeCell ref="Z18:AA18"/>
    <mergeCell ref="X18:Y18"/>
    <mergeCell ref="V16:W16"/>
    <mergeCell ref="X16:Y16"/>
    <mergeCell ref="Z16:AA16"/>
    <mergeCell ref="B17:C17"/>
    <mergeCell ref="D17:E17"/>
    <mergeCell ref="F17:G17"/>
    <mergeCell ref="H17:I17"/>
    <mergeCell ref="J17:K17"/>
    <mergeCell ref="L17:M17"/>
    <mergeCell ref="N17:O17"/>
    <mergeCell ref="P17:Q17"/>
    <mergeCell ref="R17:S17"/>
    <mergeCell ref="T17:U17"/>
    <mergeCell ref="V17:W17"/>
    <mergeCell ref="X17:Y17"/>
    <mergeCell ref="Z17:AA17"/>
    <mergeCell ref="B16:C16"/>
    <mergeCell ref="D16:E16"/>
    <mergeCell ref="F16:G16"/>
    <mergeCell ref="H16:I16"/>
    <mergeCell ref="J16:K16"/>
    <mergeCell ref="L16:M16"/>
    <mergeCell ref="R18:S18"/>
    <mergeCell ref="T18:U18"/>
    <mergeCell ref="V18:W18"/>
    <mergeCell ref="B18:C18"/>
    <mergeCell ref="D18:E18"/>
    <mergeCell ref="F18:G18"/>
    <mergeCell ref="H18:I18"/>
    <mergeCell ref="J18:K18"/>
    <mergeCell ref="L18:M18"/>
    <mergeCell ref="N18:O18"/>
    <mergeCell ref="P18:Q18"/>
    <mergeCell ref="X19:Y19"/>
    <mergeCell ref="Z19:AA19"/>
    <mergeCell ref="B20:U20"/>
    <mergeCell ref="V20:W20"/>
    <mergeCell ref="X20:Y20"/>
    <mergeCell ref="Z20:AA20"/>
    <mergeCell ref="L19:M19"/>
    <mergeCell ref="N19:O19"/>
    <mergeCell ref="P19:Q19"/>
    <mergeCell ref="R19:S19"/>
    <mergeCell ref="B19:C19"/>
    <mergeCell ref="D19:E19"/>
    <mergeCell ref="F19:G19"/>
    <mergeCell ref="H19:I19"/>
    <mergeCell ref="J19:K19"/>
    <mergeCell ref="T19:U19"/>
    <mergeCell ref="V19:W19"/>
    <mergeCell ref="AN21:AO21"/>
    <mergeCell ref="N23:Q23"/>
    <mergeCell ref="R23:S24"/>
    <mergeCell ref="T23:U24"/>
    <mergeCell ref="V23:W24"/>
    <mergeCell ref="X23:Y24"/>
    <mergeCell ref="Z23:AA24"/>
    <mergeCell ref="AN23:AO23"/>
    <mergeCell ref="N24:O24"/>
    <mergeCell ref="P24:Q24"/>
    <mergeCell ref="V25:W25"/>
    <mergeCell ref="X25:Y25"/>
    <mergeCell ref="Z25:AA25"/>
    <mergeCell ref="N27:O27"/>
    <mergeCell ref="P27:Q27"/>
    <mergeCell ref="R27:S27"/>
    <mergeCell ref="T27:U27"/>
    <mergeCell ref="V27:W27"/>
    <mergeCell ref="X27:Y27"/>
    <mergeCell ref="Z27:AA27"/>
    <mergeCell ref="V28:W28"/>
    <mergeCell ref="X28:Y28"/>
    <mergeCell ref="Z28:AA28"/>
    <mergeCell ref="L31:M32"/>
    <mergeCell ref="N31:O32"/>
    <mergeCell ref="P31:Q32"/>
    <mergeCell ref="R31:S32"/>
    <mergeCell ref="T31:U32"/>
    <mergeCell ref="L33:M33"/>
    <mergeCell ref="N33:O33"/>
    <mergeCell ref="P33:Q33"/>
    <mergeCell ref="R33:S33"/>
    <mergeCell ref="T33:U33"/>
    <mergeCell ref="V33:W33"/>
    <mergeCell ref="X36:Y36"/>
    <mergeCell ref="Z36:AA36"/>
    <mergeCell ref="V31:W32"/>
    <mergeCell ref="X31:Y32"/>
    <mergeCell ref="Z31:AA32"/>
    <mergeCell ref="X33:Y33"/>
    <mergeCell ref="R37:S37"/>
    <mergeCell ref="T37:U37"/>
    <mergeCell ref="V37:W37"/>
    <mergeCell ref="Z33:AA33"/>
    <mergeCell ref="R36:S36"/>
    <mergeCell ref="T36:U36"/>
    <mergeCell ref="V36:W36"/>
    <mergeCell ref="X37:Y37"/>
    <mergeCell ref="Z37:AA37"/>
    <mergeCell ref="X34:Y34"/>
    <mergeCell ref="X35:Y35"/>
    <mergeCell ref="Z34:AA34"/>
    <mergeCell ref="Z35:AA35"/>
    <mergeCell ref="V38:W38"/>
    <mergeCell ref="X38:Y38"/>
    <mergeCell ref="Z38:AA38"/>
    <mergeCell ref="L37:M37"/>
    <mergeCell ref="N37:O37"/>
    <mergeCell ref="P37:Q37"/>
    <mergeCell ref="J37:K37"/>
    <mergeCell ref="D44:J44"/>
    <mergeCell ref="W44:Y44"/>
    <mergeCell ref="B41:C44"/>
    <mergeCell ref="D41:J41"/>
    <mergeCell ref="L41:N41"/>
    <mergeCell ref="Q41:R41"/>
    <mergeCell ref="U41:V41"/>
    <mergeCell ref="Y41:Z41"/>
    <mergeCell ref="D42:J42"/>
    <mergeCell ref="W42:Y42"/>
    <mergeCell ref="D43:J43"/>
    <mergeCell ref="W43:Y43"/>
  </mergeCells>
  <phoneticPr fontId="2"/>
  <conditionalFormatting sqref="V20:W20">
    <cfRule type="expression" dxfId="75" priority="51" stopIfTrue="1">
      <formula>$V$20=0</formula>
    </cfRule>
  </conditionalFormatting>
  <conditionalFormatting sqref="X20:Y20">
    <cfRule type="expression" dxfId="74" priority="50" stopIfTrue="1">
      <formula>$X$20=0</formula>
    </cfRule>
  </conditionalFormatting>
  <conditionalFormatting sqref="Z20:AA20">
    <cfRule type="expression" dxfId="73" priority="49" stopIfTrue="1">
      <formula>$Z$20=0</formula>
    </cfRule>
  </conditionalFormatting>
  <conditionalFormatting sqref="V28:W28">
    <cfRule type="expression" dxfId="72" priority="48" stopIfTrue="1">
      <formula>$V$28:$W$28=0</formula>
    </cfRule>
  </conditionalFormatting>
  <conditionalFormatting sqref="V38:W38">
    <cfRule type="expression" dxfId="71" priority="47" stopIfTrue="1">
      <formula>$V$38:$W$38=0</formula>
    </cfRule>
  </conditionalFormatting>
  <conditionalFormatting sqref="Y41:Z41">
    <cfRule type="expression" dxfId="70" priority="46" stopIfTrue="1">
      <formula>$Y$41=0</formula>
    </cfRule>
  </conditionalFormatting>
  <conditionalFormatting sqref="Q41:R41">
    <cfRule type="expression" dxfId="69" priority="45" stopIfTrue="1">
      <formula>$Q$41=0</formula>
    </cfRule>
  </conditionalFormatting>
  <conditionalFormatting sqref="U41:V41">
    <cfRule type="expression" dxfId="68" priority="44" stopIfTrue="1">
      <formula>$U$41=0</formula>
    </cfRule>
  </conditionalFormatting>
  <conditionalFormatting sqref="L41:N41">
    <cfRule type="expression" dxfId="67" priority="43" stopIfTrue="1">
      <formula>$L$41=0</formula>
    </cfRule>
  </conditionalFormatting>
  <conditionalFormatting sqref="X8:Y8">
    <cfRule type="expression" dxfId="66" priority="41" stopIfTrue="1">
      <formula>#VALUE!</formula>
    </cfRule>
    <cfRule type="expression" dxfId="65" priority="42" stopIfTrue="1">
      <formula>#VALUE!</formula>
    </cfRule>
  </conditionalFormatting>
  <conditionalFormatting sqref="X19:Y19">
    <cfRule type="expression" dxfId="64" priority="40" stopIfTrue="1">
      <formula>#VALUE!</formula>
    </cfRule>
  </conditionalFormatting>
  <conditionalFormatting sqref="X8:Y8">
    <cfRule type="expression" dxfId="63" priority="28" stopIfTrue="1">
      <formula>#VALUE!</formula>
    </cfRule>
    <cfRule type="expression" dxfId="62" priority="29" stopIfTrue="1">
      <formula>#VALUE!</formula>
    </cfRule>
  </conditionalFormatting>
  <conditionalFormatting sqref="X19:Y19">
    <cfRule type="expression" dxfId="61" priority="27" stopIfTrue="1">
      <formula>#VALUE!</formula>
    </cfRule>
  </conditionalFormatting>
  <conditionalFormatting sqref="X28:Y28">
    <cfRule type="expression" dxfId="60" priority="26" stopIfTrue="1">
      <formula>$X$28:$Y$28=0</formula>
    </cfRule>
  </conditionalFormatting>
  <conditionalFormatting sqref="Z28:AA28">
    <cfRule type="expression" dxfId="59" priority="25" stopIfTrue="1">
      <formula>$Z$28:$AA$28=0</formula>
    </cfRule>
  </conditionalFormatting>
  <conditionalFormatting sqref="X38:Y38">
    <cfRule type="expression" dxfId="58" priority="24" stopIfTrue="1">
      <formula>$X$38:$Y$38=0</formula>
    </cfRule>
  </conditionalFormatting>
  <conditionalFormatting sqref="Z38:AA38">
    <cfRule type="expression" dxfId="57" priority="23" stopIfTrue="1">
      <formula>$Z$38:$AA$38=0</formula>
    </cfRule>
  </conditionalFormatting>
  <conditionalFormatting sqref="P8:U8">
    <cfRule type="expression" dxfId="56" priority="12" stopIfTrue="1">
      <formula>$AG$8=TRUE</formula>
    </cfRule>
  </conditionalFormatting>
  <conditionalFormatting sqref="P15:U15">
    <cfRule type="expression" dxfId="55" priority="11" stopIfTrue="1">
      <formula>$AG$15=TRUE</formula>
    </cfRule>
  </conditionalFormatting>
  <conditionalFormatting sqref="P16:U16">
    <cfRule type="expression" dxfId="54" priority="10" stopIfTrue="1">
      <formula>$AG$16=TRUE</formula>
    </cfRule>
  </conditionalFormatting>
  <conditionalFormatting sqref="P17:U17">
    <cfRule type="expression" dxfId="53" priority="9" stopIfTrue="1">
      <formula>$AG$17=TRUE</formula>
    </cfRule>
  </conditionalFormatting>
  <conditionalFormatting sqref="P18:U18">
    <cfRule type="expression" dxfId="52" priority="8" stopIfTrue="1">
      <formula>$AG$18=TRUE</formula>
    </cfRule>
  </conditionalFormatting>
  <conditionalFormatting sqref="P19:U19">
    <cfRule type="expression" dxfId="51" priority="7" stopIfTrue="1">
      <formula>$AG$19=TRUE</formula>
    </cfRule>
  </conditionalFormatting>
  <conditionalFormatting sqref="P10:U10">
    <cfRule type="expression" dxfId="50" priority="6" stopIfTrue="1">
      <formula>$AG$10=TRUE</formula>
    </cfRule>
  </conditionalFormatting>
  <conditionalFormatting sqref="P11:U11">
    <cfRule type="expression" dxfId="49" priority="5" stopIfTrue="1">
      <formula>$AG$11=TRUE</formula>
    </cfRule>
  </conditionalFormatting>
  <conditionalFormatting sqref="P14:U14">
    <cfRule type="expression" dxfId="48" priority="4" stopIfTrue="1">
      <formula>$AG$14=TRUE</formula>
    </cfRule>
  </conditionalFormatting>
  <conditionalFormatting sqref="P9:U9">
    <cfRule type="expression" dxfId="47" priority="3" stopIfTrue="1">
      <formula>$AG$9=TRUE</formula>
    </cfRule>
  </conditionalFormatting>
  <conditionalFormatting sqref="P12:U12">
    <cfRule type="expression" dxfId="46" priority="2">
      <formula>$AG$12=TRUE</formula>
    </cfRule>
  </conditionalFormatting>
  <conditionalFormatting sqref="P13:U13">
    <cfRule type="expression" dxfId="45" priority="1">
      <formula>$AG$13=TRUE</formula>
    </cfRule>
  </conditionalFormatting>
  <dataValidations count="1">
    <dataValidation type="list" allowBlank="1" showInputMessage="1" showErrorMessage="1" sqref="M14:M19 L8:L19 M8:M11 T25:T27 U25 U27">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89" orientation="portrait" horizontalDpi="300" verticalDpi="300" r:id="rId1"/>
  <headerFooter>
    <oddHeader>&amp;Rver. 1.7[H28]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01" r:id="rId4" name="Check Box 1">
              <controlPr defaultSize="0" autoFill="0" autoLine="0" autoPict="0">
                <anchor moveWithCells="1">
                  <from>
                    <xdr:col>13</xdr:col>
                    <xdr:colOff>190500</xdr:colOff>
                    <xdr:row>7</xdr:row>
                    <xdr:rowOff>47625</xdr:rowOff>
                  </from>
                  <to>
                    <xdr:col>14</xdr:col>
                    <xdr:colOff>200025</xdr:colOff>
                    <xdr:row>7</xdr:row>
                    <xdr:rowOff>257175</xdr:rowOff>
                  </to>
                </anchor>
              </controlPr>
            </control>
          </mc:Choice>
        </mc:AlternateContent>
        <mc:AlternateContent xmlns:mc="http://schemas.openxmlformats.org/markup-compatibility/2006">
          <mc:Choice Requires="x14">
            <control shapeId="102402" r:id="rId5" name="Check Box 2">
              <controlPr defaultSize="0" autoFill="0" autoLine="0" autoPict="0">
                <anchor moveWithCells="1">
                  <from>
                    <xdr:col>13</xdr:col>
                    <xdr:colOff>190500</xdr:colOff>
                    <xdr:row>8</xdr:row>
                    <xdr:rowOff>47625</xdr:rowOff>
                  </from>
                  <to>
                    <xdr:col>14</xdr:col>
                    <xdr:colOff>200025</xdr:colOff>
                    <xdr:row>8</xdr:row>
                    <xdr:rowOff>257175</xdr:rowOff>
                  </to>
                </anchor>
              </controlPr>
            </control>
          </mc:Choice>
        </mc:AlternateContent>
        <mc:AlternateContent xmlns:mc="http://schemas.openxmlformats.org/markup-compatibility/2006">
          <mc:Choice Requires="x14">
            <control shapeId="102403" r:id="rId6" name="Check Box 3">
              <controlPr defaultSize="0" autoFill="0" autoLine="0" autoPict="0">
                <anchor moveWithCells="1">
                  <from>
                    <xdr:col>13</xdr:col>
                    <xdr:colOff>190500</xdr:colOff>
                    <xdr:row>14</xdr:row>
                    <xdr:rowOff>47625</xdr:rowOff>
                  </from>
                  <to>
                    <xdr:col>14</xdr:col>
                    <xdr:colOff>200025</xdr:colOff>
                    <xdr:row>14</xdr:row>
                    <xdr:rowOff>257175</xdr:rowOff>
                  </to>
                </anchor>
              </controlPr>
            </control>
          </mc:Choice>
        </mc:AlternateContent>
        <mc:AlternateContent xmlns:mc="http://schemas.openxmlformats.org/markup-compatibility/2006">
          <mc:Choice Requires="x14">
            <control shapeId="102404" r:id="rId7" name="Check Box 4">
              <controlPr defaultSize="0" autoFill="0" autoLine="0" autoPict="0">
                <anchor moveWithCells="1">
                  <from>
                    <xdr:col>13</xdr:col>
                    <xdr:colOff>190500</xdr:colOff>
                    <xdr:row>15</xdr:row>
                    <xdr:rowOff>47625</xdr:rowOff>
                  </from>
                  <to>
                    <xdr:col>14</xdr:col>
                    <xdr:colOff>200025</xdr:colOff>
                    <xdr:row>15</xdr:row>
                    <xdr:rowOff>257175</xdr:rowOff>
                  </to>
                </anchor>
              </controlPr>
            </control>
          </mc:Choice>
        </mc:AlternateContent>
        <mc:AlternateContent xmlns:mc="http://schemas.openxmlformats.org/markup-compatibility/2006">
          <mc:Choice Requires="x14">
            <control shapeId="102405" r:id="rId8" name="Check Box 5">
              <controlPr defaultSize="0" autoFill="0" autoLine="0" autoPict="0">
                <anchor moveWithCells="1">
                  <from>
                    <xdr:col>13</xdr:col>
                    <xdr:colOff>190500</xdr:colOff>
                    <xdr:row>16</xdr:row>
                    <xdr:rowOff>47625</xdr:rowOff>
                  </from>
                  <to>
                    <xdr:col>14</xdr:col>
                    <xdr:colOff>200025</xdr:colOff>
                    <xdr:row>16</xdr:row>
                    <xdr:rowOff>257175</xdr:rowOff>
                  </to>
                </anchor>
              </controlPr>
            </control>
          </mc:Choice>
        </mc:AlternateContent>
        <mc:AlternateContent xmlns:mc="http://schemas.openxmlformats.org/markup-compatibility/2006">
          <mc:Choice Requires="x14">
            <control shapeId="102406" r:id="rId9" name="Check Box 6">
              <controlPr defaultSize="0" autoFill="0" autoLine="0" autoPict="0">
                <anchor moveWithCells="1">
                  <from>
                    <xdr:col>13</xdr:col>
                    <xdr:colOff>190500</xdr:colOff>
                    <xdr:row>17</xdr:row>
                    <xdr:rowOff>47625</xdr:rowOff>
                  </from>
                  <to>
                    <xdr:col>14</xdr:col>
                    <xdr:colOff>200025</xdr:colOff>
                    <xdr:row>17</xdr:row>
                    <xdr:rowOff>257175</xdr:rowOff>
                  </to>
                </anchor>
              </controlPr>
            </control>
          </mc:Choice>
        </mc:AlternateContent>
        <mc:AlternateContent xmlns:mc="http://schemas.openxmlformats.org/markup-compatibility/2006">
          <mc:Choice Requires="x14">
            <control shapeId="102407" r:id="rId10" name="Check Box 7">
              <controlPr defaultSize="0" autoFill="0" autoLine="0" autoPict="0">
                <anchor moveWithCells="1">
                  <from>
                    <xdr:col>13</xdr:col>
                    <xdr:colOff>190500</xdr:colOff>
                    <xdr:row>18</xdr:row>
                    <xdr:rowOff>47625</xdr:rowOff>
                  </from>
                  <to>
                    <xdr:col>14</xdr:col>
                    <xdr:colOff>200025</xdr:colOff>
                    <xdr:row>18</xdr:row>
                    <xdr:rowOff>257175</xdr:rowOff>
                  </to>
                </anchor>
              </controlPr>
            </control>
          </mc:Choice>
        </mc:AlternateContent>
        <mc:AlternateContent xmlns:mc="http://schemas.openxmlformats.org/markup-compatibility/2006">
          <mc:Choice Requires="x14">
            <control shapeId="102408" r:id="rId11" name="Check Box 8">
              <controlPr defaultSize="0" autoFill="0" autoLine="0" autoPict="0">
                <anchor moveWithCells="1">
                  <from>
                    <xdr:col>13</xdr:col>
                    <xdr:colOff>190500</xdr:colOff>
                    <xdr:row>9</xdr:row>
                    <xdr:rowOff>47625</xdr:rowOff>
                  </from>
                  <to>
                    <xdr:col>14</xdr:col>
                    <xdr:colOff>200025</xdr:colOff>
                    <xdr:row>9</xdr:row>
                    <xdr:rowOff>257175</xdr:rowOff>
                  </to>
                </anchor>
              </controlPr>
            </control>
          </mc:Choice>
        </mc:AlternateContent>
        <mc:AlternateContent xmlns:mc="http://schemas.openxmlformats.org/markup-compatibility/2006">
          <mc:Choice Requires="x14">
            <control shapeId="102409" r:id="rId12" name="Check Box 9">
              <controlPr defaultSize="0" autoFill="0" autoLine="0" autoPict="0">
                <anchor moveWithCells="1">
                  <from>
                    <xdr:col>13</xdr:col>
                    <xdr:colOff>190500</xdr:colOff>
                    <xdr:row>10</xdr:row>
                    <xdr:rowOff>47625</xdr:rowOff>
                  </from>
                  <to>
                    <xdr:col>14</xdr:col>
                    <xdr:colOff>200025</xdr:colOff>
                    <xdr:row>10</xdr:row>
                    <xdr:rowOff>257175</xdr:rowOff>
                  </to>
                </anchor>
              </controlPr>
            </control>
          </mc:Choice>
        </mc:AlternateContent>
        <mc:AlternateContent xmlns:mc="http://schemas.openxmlformats.org/markup-compatibility/2006">
          <mc:Choice Requires="x14">
            <control shapeId="102410" r:id="rId13" name="Check Box 10">
              <controlPr defaultSize="0" autoFill="0" autoLine="0" autoPict="0">
                <anchor moveWithCells="1">
                  <from>
                    <xdr:col>13</xdr:col>
                    <xdr:colOff>190500</xdr:colOff>
                    <xdr:row>13</xdr:row>
                    <xdr:rowOff>47625</xdr:rowOff>
                  </from>
                  <to>
                    <xdr:col>14</xdr:col>
                    <xdr:colOff>200025</xdr:colOff>
                    <xdr:row>13</xdr:row>
                    <xdr:rowOff>257175</xdr:rowOff>
                  </to>
                </anchor>
              </controlPr>
            </control>
          </mc:Choice>
        </mc:AlternateContent>
        <mc:AlternateContent xmlns:mc="http://schemas.openxmlformats.org/markup-compatibility/2006">
          <mc:Choice Requires="x14">
            <control shapeId="102422" r:id="rId14" name="Check Box 22">
              <controlPr defaultSize="0" autoFill="0" autoLine="0" autoPict="0">
                <anchor moveWithCells="1">
                  <from>
                    <xdr:col>19</xdr:col>
                    <xdr:colOff>190500</xdr:colOff>
                    <xdr:row>32</xdr:row>
                    <xdr:rowOff>47625</xdr:rowOff>
                  </from>
                  <to>
                    <xdr:col>20</xdr:col>
                    <xdr:colOff>200025</xdr:colOff>
                    <xdr:row>32</xdr:row>
                    <xdr:rowOff>257175</xdr:rowOff>
                  </to>
                </anchor>
              </controlPr>
            </control>
          </mc:Choice>
        </mc:AlternateContent>
        <mc:AlternateContent xmlns:mc="http://schemas.openxmlformats.org/markup-compatibility/2006">
          <mc:Choice Requires="x14">
            <control shapeId="102423" r:id="rId15" name="Check Box 23">
              <controlPr defaultSize="0" autoFill="0" autoLine="0" autoPict="0">
                <anchor moveWithCells="1">
                  <from>
                    <xdr:col>19</xdr:col>
                    <xdr:colOff>190500</xdr:colOff>
                    <xdr:row>35</xdr:row>
                    <xdr:rowOff>47625</xdr:rowOff>
                  </from>
                  <to>
                    <xdr:col>20</xdr:col>
                    <xdr:colOff>200025</xdr:colOff>
                    <xdr:row>35</xdr:row>
                    <xdr:rowOff>257175</xdr:rowOff>
                  </to>
                </anchor>
              </controlPr>
            </control>
          </mc:Choice>
        </mc:AlternateContent>
        <mc:AlternateContent xmlns:mc="http://schemas.openxmlformats.org/markup-compatibility/2006">
          <mc:Choice Requires="x14">
            <control shapeId="102424" r:id="rId16" name="Check Box 24">
              <controlPr defaultSize="0" autoFill="0" autoLine="0" autoPict="0">
                <anchor moveWithCells="1">
                  <from>
                    <xdr:col>19</xdr:col>
                    <xdr:colOff>190500</xdr:colOff>
                    <xdr:row>36</xdr:row>
                    <xdr:rowOff>47625</xdr:rowOff>
                  </from>
                  <to>
                    <xdr:col>20</xdr:col>
                    <xdr:colOff>200025</xdr:colOff>
                    <xdr:row>36</xdr:row>
                    <xdr:rowOff>257175</xdr:rowOff>
                  </to>
                </anchor>
              </controlPr>
            </control>
          </mc:Choice>
        </mc:AlternateContent>
        <mc:AlternateContent xmlns:mc="http://schemas.openxmlformats.org/markup-compatibility/2006">
          <mc:Choice Requires="x14">
            <control shapeId="102433" r:id="rId17" name="Check Box 33">
              <controlPr defaultSize="0" autoFill="0" autoLine="0" autoPict="0">
                <anchor moveWithCells="1">
                  <from>
                    <xdr:col>13</xdr:col>
                    <xdr:colOff>190500</xdr:colOff>
                    <xdr:row>11</xdr:row>
                    <xdr:rowOff>47625</xdr:rowOff>
                  </from>
                  <to>
                    <xdr:col>14</xdr:col>
                    <xdr:colOff>200025</xdr:colOff>
                    <xdr:row>11</xdr:row>
                    <xdr:rowOff>257175</xdr:rowOff>
                  </to>
                </anchor>
              </controlPr>
            </control>
          </mc:Choice>
        </mc:AlternateContent>
        <mc:AlternateContent xmlns:mc="http://schemas.openxmlformats.org/markup-compatibility/2006">
          <mc:Choice Requires="x14">
            <control shapeId="102435" r:id="rId18" name="Check Box 35">
              <controlPr defaultSize="0" autoFill="0" autoLine="0" autoPict="0">
                <anchor moveWithCells="1">
                  <from>
                    <xdr:col>13</xdr:col>
                    <xdr:colOff>190500</xdr:colOff>
                    <xdr:row>12</xdr:row>
                    <xdr:rowOff>47625</xdr:rowOff>
                  </from>
                  <to>
                    <xdr:col>14</xdr:col>
                    <xdr:colOff>200025</xdr:colOff>
                    <xdr:row>12</xdr:row>
                    <xdr:rowOff>257175</xdr:rowOff>
                  </to>
                </anchor>
              </controlPr>
            </control>
          </mc:Choice>
        </mc:AlternateContent>
        <mc:AlternateContent xmlns:mc="http://schemas.openxmlformats.org/markup-compatibility/2006">
          <mc:Choice Requires="x14">
            <control shapeId="102436" r:id="rId19" name="Check Box 36">
              <controlPr defaultSize="0" autoFill="0" autoLine="0" autoPict="0">
                <anchor moveWithCells="1">
                  <from>
                    <xdr:col>19</xdr:col>
                    <xdr:colOff>190500</xdr:colOff>
                    <xdr:row>33</xdr:row>
                    <xdr:rowOff>47625</xdr:rowOff>
                  </from>
                  <to>
                    <xdr:col>20</xdr:col>
                    <xdr:colOff>200025</xdr:colOff>
                    <xdr:row>33</xdr:row>
                    <xdr:rowOff>257175</xdr:rowOff>
                  </to>
                </anchor>
              </controlPr>
            </control>
          </mc:Choice>
        </mc:AlternateContent>
        <mc:AlternateContent xmlns:mc="http://schemas.openxmlformats.org/markup-compatibility/2006">
          <mc:Choice Requires="x14">
            <control shapeId="102437" r:id="rId20" name="Check Box 37">
              <controlPr defaultSize="0" autoFill="0" autoLine="0" autoPict="0">
                <anchor moveWithCells="1">
                  <from>
                    <xdr:col>19</xdr:col>
                    <xdr:colOff>190500</xdr:colOff>
                    <xdr:row>34</xdr:row>
                    <xdr:rowOff>47625</xdr:rowOff>
                  </from>
                  <to>
                    <xdr:col>20</xdr:col>
                    <xdr:colOff>200025</xdr:colOff>
                    <xdr:row>34</xdr:row>
                    <xdr:rowOff>257175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B1:AO106"/>
  <sheetViews>
    <sheetView showGridLines="0" view="pageBreakPreview" topLeftCell="A13" zoomScaleNormal="100" zoomScaleSheetLayoutView="100" workbookViewId="0">
      <selection activeCell="R33" sqref="R33:S33"/>
    </sheetView>
  </sheetViews>
  <sheetFormatPr defaultRowHeight="13.5"/>
  <cols>
    <col min="1" max="1" width="0.875" style="52" customWidth="1"/>
    <col min="2" max="10" width="3.875" style="52" customWidth="1"/>
    <col min="11" max="11" width="4.125" style="52" customWidth="1"/>
    <col min="12" max="26" width="3.875" style="52" customWidth="1"/>
    <col min="27" max="27" width="5.5" style="52" customWidth="1"/>
    <col min="28" max="29" width="3.875" style="52" customWidth="1"/>
    <col min="30" max="31" width="10.625" style="52" hidden="1" customWidth="1"/>
    <col min="32" max="32" width="2.625" style="52" hidden="1" customWidth="1"/>
    <col min="33" max="35" width="10.625" style="52" hidden="1" customWidth="1"/>
    <col min="36" max="36" width="2.625" style="52" hidden="1" customWidth="1"/>
    <col min="37" max="38" width="15.625" style="52" hidden="1" customWidth="1"/>
    <col min="39" max="39" width="2.625" style="52" hidden="1" customWidth="1"/>
    <col min="40" max="41" width="10.625" style="52" hidden="1" customWidth="1"/>
    <col min="42" max="43" width="3.625" style="52" customWidth="1"/>
    <col min="44" max="49" width="4.625" style="52" customWidth="1"/>
    <col min="50" max="16384" width="9" style="52"/>
  </cols>
  <sheetData>
    <row r="1" spans="2:41" ht="3.95" customHeight="1"/>
    <row r="2" spans="2:41" s="36" customFormat="1" ht="30" customHeight="1">
      <c r="B2" s="447" t="s">
        <v>115</v>
      </c>
      <c r="C2" s="447"/>
      <c r="D2" s="447"/>
      <c r="E2" s="447"/>
      <c r="F2" s="447"/>
      <c r="G2" s="447"/>
      <c r="H2" s="447"/>
      <c r="I2" s="447"/>
      <c r="J2" s="447"/>
      <c r="K2" s="447"/>
      <c r="L2" s="447"/>
      <c r="M2" s="447"/>
      <c r="N2" s="447"/>
      <c r="O2" s="447"/>
      <c r="P2" s="447"/>
      <c r="Q2" s="447"/>
      <c r="R2" s="447"/>
      <c r="S2" s="447"/>
      <c r="T2" s="447"/>
      <c r="U2" s="447"/>
      <c r="V2" s="447"/>
      <c r="W2" s="447"/>
      <c r="X2" s="447"/>
      <c r="Y2" s="447"/>
      <c r="Z2" s="447"/>
      <c r="AA2" s="447"/>
    </row>
    <row r="3" spans="2:41" s="37" customFormat="1" ht="24.95" customHeight="1" thickBot="1"/>
    <row r="4" spans="2:41" s="37" customFormat="1" ht="21.95" customHeight="1" thickBot="1">
      <c r="B4" s="38" t="s">
        <v>5</v>
      </c>
      <c r="R4" s="448" t="s">
        <v>35</v>
      </c>
      <c r="S4" s="449"/>
      <c r="T4" s="449"/>
      <c r="U4" s="450"/>
      <c r="V4" s="514">
        <f>IF(共通条件・結果!AA7="８地域","0.411",IF(共通条件・結果!AA7="７地域",0.406,IF(共通条件・結果!AA7="６地域",0.427,IF(共通条件・結果!AA7="５地域",0.442,IF(共通条件・結果!AA7="４地域",0.401,IF(共通条件・結果!AA7="３地域",0.447,IF(共通条件・結果!AA7="２地域",0.428,IF(共通条件・結果!AA7="１地域",0.411))))))))</f>
        <v>0.42699999999999999</v>
      </c>
      <c r="W4" s="515"/>
      <c r="X4" s="514">
        <f>IF(共通条件・結果!AA7="８地域","-",IF(共通条件・結果!AA7="７地域",0.284,IF(共通条件・結果!AA7="６地域",0.317,IF(共通条件・結果!AA7="５地域",0.297,IF(共通条件・結果!AA7="４地域",0.326,IF(共通条件・結果!AA7="３地域",0.351,IF(共通条件・結果!AA7="２地域",0.341,IF(共通条件・結果!AA7="１地域",0.325))))))))</f>
        <v>0.317</v>
      </c>
      <c r="Y4" s="515"/>
    </row>
    <row r="5" spans="2:41" s="37" customFormat="1" ht="21.95" customHeight="1">
      <c r="B5" s="453" t="s">
        <v>6</v>
      </c>
      <c r="C5" s="361"/>
      <c r="D5" s="361" t="s">
        <v>91</v>
      </c>
      <c r="E5" s="361"/>
      <c r="F5" s="361"/>
      <c r="G5" s="361"/>
      <c r="H5" s="361" t="s">
        <v>7</v>
      </c>
      <c r="I5" s="361"/>
      <c r="J5" s="360" t="s">
        <v>99</v>
      </c>
      <c r="K5" s="361"/>
      <c r="L5" s="360" t="s">
        <v>10</v>
      </c>
      <c r="M5" s="361"/>
      <c r="N5" s="456" t="s">
        <v>71</v>
      </c>
      <c r="O5" s="457"/>
      <c r="P5" s="457"/>
      <c r="Q5" s="457"/>
      <c r="R5" s="457"/>
      <c r="S5" s="457"/>
      <c r="T5" s="457"/>
      <c r="U5" s="457"/>
      <c r="V5" s="360" t="s">
        <v>66</v>
      </c>
      <c r="W5" s="361"/>
      <c r="X5" s="360" t="s">
        <v>67</v>
      </c>
      <c r="Y5" s="361"/>
      <c r="Z5" s="361" t="s">
        <v>13</v>
      </c>
      <c r="AA5" s="363"/>
    </row>
    <row r="6" spans="2:41" s="37" customFormat="1" ht="21.95" customHeight="1">
      <c r="B6" s="454"/>
      <c r="C6" s="443"/>
      <c r="D6" s="469" t="s">
        <v>9</v>
      </c>
      <c r="E6" s="470"/>
      <c r="F6" s="473" t="s">
        <v>8</v>
      </c>
      <c r="G6" s="474"/>
      <c r="H6" s="443"/>
      <c r="I6" s="443"/>
      <c r="J6" s="442"/>
      <c r="K6" s="443"/>
      <c r="L6" s="442"/>
      <c r="M6" s="443"/>
      <c r="N6" s="476" t="s">
        <v>69</v>
      </c>
      <c r="O6" s="477"/>
      <c r="P6" s="479" t="s">
        <v>70</v>
      </c>
      <c r="Q6" s="480"/>
      <c r="R6" s="480"/>
      <c r="S6" s="480"/>
      <c r="T6" s="480"/>
      <c r="U6" s="481"/>
      <c r="V6" s="442"/>
      <c r="W6" s="443"/>
      <c r="X6" s="442"/>
      <c r="Y6" s="443"/>
      <c r="Z6" s="443"/>
      <c r="AA6" s="444"/>
      <c r="AD6" s="401" t="s">
        <v>74</v>
      </c>
      <c r="AE6" s="401"/>
      <c r="AF6" s="39"/>
      <c r="AG6" s="39"/>
      <c r="AH6" s="401" t="s">
        <v>14</v>
      </c>
      <c r="AI6" s="401"/>
      <c r="AJ6" s="39"/>
      <c r="AK6" s="401" t="s">
        <v>75</v>
      </c>
      <c r="AL6" s="401"/>
      <c r="AN6" s="401" t="s">
        <v>89</v>
      </c>
      <c r="AO6" s="401"/>
    </row>
    <row r="7" spans="2:41" s="37" customFormat="1" ht="21.95" customHeight="1" thickBot="1">
      <c r="B7" s="455"/>
      <c r="C7" s="362"/>
      <c r="D7" s="471"/>
      <c r="E7" s="472"/>
      <c r="F7" s="475"/>
      <c r="G7" s="438"/>
      <c r="H7" s="362"/>
      <c r="I7" s="362"/>
      <c r="J7" s="362"/>
      <c r="K7" s="362"/>
      <c r="L7" s="362"/>
      <c r="M7" s="362"/>
      <c r="N7" s="378"/>
      <c r="O7" s="478"/>
      <c r="P7" s="438" t="s">
        <v>11</v>
      </c>
      <c r="Q7" s="439"/>
      <c r="R7" s="440" t="s">
        <v>12</v>
      </c>
      <c r="S7" s="441"/>
      <c r="T7" s="438" t="s">
        <v>3</v>
      </c>
      <c r="U7" s="439"/>
      <c r="V7" s="362"/>
      <c r="W7" s="362"/>
      <c r="X7" s="362"/>
      <c r="Y7" s="362"/>
      <c r="Z7" s="362"/>
      <c r="AA7" s="364"/>
      <c r="AD7" s="39" t="s">
        <v>4</v>
      </c>
      <c r="AE7" s="39" t="s">
        <v>18</v>
      </c>
      <c r="AF7" s="39"/>
      <c r="AG7" s="39"/>
      <c r="AH7" s="39" t="s">
        <v>4</v>
      </c>
      <c r="AI7" s="39" t="s">
        <v>18</v>
      </c>
      <c r="AJ7" s="39"/>
      <c r="AK7" s="39" t="s">
        <v>4</v>
      </c>
      <c r="AL7" s="39" t="s">
        <v>18</v>
      </c>
      <c r="AN7" s="97" t="s">
        <v>87</v>
      </c>
      <c r="AO7" s="37" t="s">
        <v>85</v>
      </c>
    </row>
    <row r="8" spans="2:41" s="37" customFormat="1" ht="21.95" customHeight="1">
      <c r="B8" s="433"/>
      <c r="C8" s="434"/>
      <c r="D8" s="435"/>
      <c r="E8" s="436"/>
      <c r="F8" s="436"/>
      <c r="G8" s="437"/>
      <c r="H8" s="392"/>
      <c r="I8" s="392"/>
      <c r="J8" s="392"/>
      <c r="K8" s="392"/>
      <c r="L8" s="410"/>
      <c r="M8" s="410"/>
      <c r="N8" s="482"/>
      <c r="O8" s="483"/>
      <c r="P8" s="461"/>
      <c r="Q8" s="484"/>
      <c r="R8" s="458"/>
      <c r="S8" s="459"/>
      <c r="T8" s="460"/>
      <c r="U8" s="461"/>
      <c r="V8" s="462" t="str">
        <f>IF(D8="","",AD8)</f>
        <v/>
      </c>
      <c r="W8" s="462"/>
      <c r="X8" s="462" t="str">
        <f t="shared" ref="X8:X19" si="0">IF(D8="","",IF(ISERROR(AE8),"-",AE8))</f>
        <v/>
      </c>
      <c r="Y8" s="462"/>
      <c r="Z8" s="462" t="str">
        <f>IF(D8="","",D8*F8*AN8)</f>
        <v/>
      </c>
      <c r="AA8" s="463"/>
      <c r="AD8" s="37" t="e">
        <f>D8*F8*J8*$V$4*AH8</f>
        <v>#VALUE!</v>
      </c>
      <c r="AE8" s="37" t="e">
        <f>D8*F8*J8*$X$4*AI8</f>
        <v>#VALUE!</v>
      </c>
      <c r="AG8" s="40" t="b">
        <v>0</v>
      </c>
      <c r="AH8" s="37" t="str">
        <f>IF(AG8=TRUE,"0.93",IF(ISERROR(AK8),"エラー",IF(AK8&gt;0.93,"0.93",AK8)))</f>
        <v>エラー</v>
      </c>
      <c r="AI8" s="37" t="str">
        <f>IF(AG8=TRUE,"0.51",IF(ISERROR(AL8),"エラー",IF(AL8&gt;0.72,"0.72",AL8)))</f>
        <v>エラー</v>
      </c>
      <c r="AK8" s="37" t="e">
        <f>0.01*(16+24*(2*R8+T8)/P8)</f>
        <v>#DIV/0!</v>
      </c>
      <c r="AL8" s="37" t="e">
        <f>0.01*(10+15*(2*R8+T8)/P8)</f>
        <v>#DIV/0!</v>
      </c>
      <c r="AN8" s="37">
        <f>IF(共通条件・結果!$AA$7="８地域",H8,IF(AO8="FALSE",H8,IF(L8="風除室",1/((1/H8)+0.1),0.5*H8+0.5*(1/((1/H8)+AO8)))))</f>
        <v>0</v>
      </c>
      <c r="AO8" s="39" t="str">
        <f t="shared" ref="AO8:AO19" si="1">IF(L8="","FALSE",IF(L8="雨戸",0.1,IF(L8="ｼｬｯﾀｰ",0.1,IF(L8="障子",0.18,IF(L8="風除室",0.1)))))</f>
        <v>FALSE</v>
      </c>
    </row>
    <row r="9" spans="2:41" s="37" customFormat="1" ht="21.95" customHeight="1">
      <c r="B9" s="419"/>
      <c r="C9" s="420"/>
      <c r="D9" s="421"/>
      <c r="E9" s="422"/>
      <c r="F9" s="422"/>
      <c r="G9" s="423"/>
      <c r="H9" s="370"/>
      <c r="I9" s="370"/>
      <c r="J9" s="370"/>
      <c r="K9" s="370"/>
      <c r="L9" s="398" t="s">
        <v>65</v>
      </c>
      <c r="M9" s="398"/>
      <c r="N9" s="428"/>
      <c r="O9" s="429"/>
      <c r="P9" s="427"/>
      <c r="Q9" s="430"/>
      <c r="R9" s="424"/>
      <c r="S9" s="425"/>
      <c r="T9" s="426"/>
      <c r="U9" s="427"/>
      <c r="V9" s="358" t="str">
        <f t="shared" ref="V9:V19" si="2">IF(D9="","",AD9)</f>
        <v/>
      </c>
      <c r="W9" s="358"/>
      <c r="X9" s="358" t="str">
        <f t="shared" si="0"/>
        <v/>
      </c>
      <c r="Y9" s="358"/>
      <c r="Z9" s="358" t="str">
        <f t="shared" ref="Z9:Z19" si="3">IF(D9="","",D9*F9*AN9)</f>
        <v/>
      </c>
      <c r="AA9" s="359"/>
      <c r="AD9" s="37" t="e">
        <f t="shared" ref="AD9:AD19" si="4">D9*F9*J9*$V$4*AH9</f>
        <v>#VALUE!</v>
      </c>
      <c r="AE9" s="37" t="e">
        <f t="shared" ref="AE9:AE19" si="5">D9*F9*J9*$X$4*AI9</f>
        <v>#VALUE!</v>
      </c>
      <c r="AG9" s="40" t="b">
        <v>0</v>
      </c>
      <c r="AH9" s="37" t="str">
        <f t="shared" ref="AH9:AH19" si="6">IF(AG9=TRUE,"0.93",IF(ISERROR(AK9),"エラー",IF(AK9&gt;0.93,"0.93",AK9)))</f>
        <v>エラー</v>
      </c>
      <c r="AI9" s="37" t="str">
        <f t="shared" ref="AI9:AI19" si="7">IF(AG9=TRUE,"0.51",IF(ISERROR(AL9),"エラー",IF(AL9&gt;0.72,"0.72",AL9)))</f>
        <v>エラー</v>
      </c>
      <c r="AK9" s="37" t="e">
        <f t="shared" ref="AK9:AK19" si="8">0.01*(16+24*(2*R9+T9)/P9)</f>
        <v>#DIV/0!</v>
      </c>
      <c r="AL9" s="37" t="e">
        <f t="shared" ref="AL9:AL19" si="9">0.01*(10+15*(2*R9+T9)/P9)</f>
        <v>#DIV/0!</v>
      </c>
      <c r="AN9" s="37" t="e">
        <f>IF(共通条件・結果!$AA$7="８地域",H9,IF(AO9="FALSE",H9,IF(L9="風除室",1/((1/H9)+0.1),0.5*H9+0.5*(1/((1/H9)+AO9)))))</f>
        <v>#DIV/0!</v>
      </c>
      <c r="AO9" s="39" t="b">
        <f t="shared" si="1"/>
        <v>0</v>
      </c>
    </row>
    <row r="10" spans="2:41" s="37" customFormat="1" ht="21.95" customHeight="1">
      <c r="B10" s="419"/>
      <c r="C10" s="420"/>
      <c r="D10" s="421"/>
      <c r="E10" s="422"/>
      <c r="F10" s="422"/>
      <c r="G10" s="423"/>
      <c r="H10" s="370"/>
      <c r="I10" s="370"/>
      <c r="J10" s="370"/>
      <c r="K10" s="370"/>
      <c r="L10" s="398" t="s">
        <v>65</v>
      </c>
      <c r="M10" s="398"/>
      <c r="N10" s="428"/>
      <c r="O10" s="429"/>
      <c r="P10" s="430"/>
      <c r="Q10" s="432"/>
      <c r="R10" s="431"/>
      <c r="S10" s="432"/>
      <c r="T10" s="431"/>
      <c r="U10" s="426"/>
      <c r="V10" s="358" t="str">
        <f t="shared" si="2"/>
        <v/>
      </c>
      <c r="W10" s="358"/>
      <c r="X10" s="358" t="str">
        <f t="shared" si="0"/>
        <v/>
      </c>
      <c r="Y10" s="358"/>
      <c r="Z10" s="358" t="str">
        <f t="shared" si="3"/>
        <v/>
      </c>
      <c r="AA10" s="359"/>
      <c r="AD10" s="37" t="e">
        <f t="shared" si="4"/>
        <v>#VALUE!</v>
      </c>
      <c r="AE10" s="37" t="e">
        <f t="shared" si="5"/>
        <v>#VALUE!</v>
      </c>
      <c r="AG10" s="40" t="b">
        <v>0</v>
      </c>
      <c r="AH10" s="37" t="str">
        <f t="shared" si="6"/>
        <v>エラー</v>
      </c>
      <c r="AI10" s="37" t="str">
        <f t="shared" si="7"/>
        <v>エラー</v>
      </c>
      <c r="AK10" s="37" t="e">
        <f t="shared" si="8"/>
        <v>#DIV/0!</v>
      </c>
      <c r="AL10" s="37" t="e">
        <f t="shared" si="9"/>
        <v>#DIV/0!</v>
      </c>
      <c r="AN10" s="37" t="e">
        <f>IF(共通条件・結果!$AA$7="８地域",H10,IF(AO10="FALSE",H10,IF(L10="風除室",1/((1/H10)+0.1),0.5*H10+0.5*(1/((1/H10)+AO10)))))</f>
        <v>#DIV/0!</v>
      </c>
      <c r="AO10" s="39" t="b">
        <f t="shared" si="1"/>
        <v>0</v>
      </c>
    </row>
    <row r="11" spans="2:41" s="37" customFormat="1" ht="21.95" customHeight="1">
      <c r="B11" s="419"/>
      <c r="C11" s="420"/>
      <c r="D11" s="421"/>
      <c r="E11" s="422"/>
      <c r="F11" s="422"/>
      <c r="G11" s="423"/>
      <c r="H11" s="370"/>
      <c r="I11" s="370"/>
      <c r="J11" s="370"/>
      <c r="K11" s="370"/>
      <c r="L11" s="398" t="s">
        <v>65</v>
      </c>
      <c r="M11" s="398"/>
      <c r="N11" s="428"/>
      <c r="O11" s="429"/>
      <c r="P11" s="430"/>
      <c r="Q11" s="432"/>
      <c r="R11" s="431"/>
      <c r="S11" s="432"/>
      <c r="T11" s="431"/>
      <c r="U11" s="426"/>
      <c r="V11" s="358" t="str">
        <f t="shared" si="2"/>
        <v/>
      </c>
      <c r="W11" s="358"/>
      <c r="X11" s="358" t="str">
        <f t="shared" si="0"/>
        <v/>
      </c>
      <c r="Y11" s="358"/>
      <c r="Z11" s="358" t="str">
        <f t="shared" si="3"/>
        <v/>
      </c>
      <c r="AA11" s="359"/>
      <c r="AD11" s="37" t="e">
        <f t="shared" si="4"/>
        <v>#VALUE!</v>
      </c>
      <c r="AE11" s="37" t="e">
        <f t="shared" si="5"/>
        <v>#VALUE!</v>
      </c>
      <c r="AG11" s="40" t="b">
        <v>0</v>
      </c>
      <c r="AH11" s="37" t="str">
        <f t="shared" si="6"/>
        <v>エラー</v>
      </c>
      <c r="AI11" s="37" t="str">
        <f t="shared" si="7"/>
        <v>エラー</v>
      </c>
      <c r="AK11" s="37" t="e">
        <f t="shared" si="8"/>
        <v>#DIV/0!</v>
      </c>
      <c r="AL11" s="37" t="e">
        <f t="shared" si="9"/>
        <v>#DIV/0!</v>
      </c>
      <c r="AN11" s="37" t="e">
        <f>IF(共通条件・結果!$AA$7="８地域",H11,IF(AO11="FALSE",H11,IF(L11="風除室",1/((1/H11)+0.1),0.5*H11+0.5*(1/((1/H11)+AO11)))))</f>
        <v>#DIV/0!</v>
      </c>
      <c r="AO11" s="39" t="b">
        <f t="shared" si="1"/>
        <v>0</v>
      </c>
    </row>
    <row r="12" spans="2:41" s="37" customFormat="1" ht="21.95" customHeight="1">
      <c r="B12" s="419"/>
      <c r="C12" s="445"/>
      <c r="D12" s="488"/>
      <c r="E12" s="492"/>
      <c r="F12" s="493"/>
      <c r="G12" s="489"/>
      <c r="H12" s="488"/>
      <c r="I12" s="489"/>
      <c r="J12" s="488"/>
      <c r="K12" s="489"/>
      <c r="L12" s="495"/>
      <c r="M12" s="496"/>
      <c r="N12" s="428"/>
      <c r="O12" s="497"/>
      <c r="P12" s="430"/>
      <c r="Q12" s="432"/>
      <c r="R12" s="431"/>
      <c r="S12" s="432"/>
      <c r="T12" s="431"/>
      <c r="U12" s="426"/>
      <c r="V12" s="356" t="str">
        <f t="shared" ref="V12:V13" si="10">IF(D12="","",AD12)</f>
        <v/>
      </c>
      <c r="W12" s="357"/>
      <c r="X12" s="356" t="str">
        <f t="shared" ref="X12:X13" si="11">IF(D12="","",IF(ISERROR(AE12),"-",AE12))</f>
        <v/>
      </c>
      <c r="Y12" s="357"/>
      <c r="Z12" s="356" t="str">
        <f t="shared" ref="Z12:Z13" si="12">IF(D12="","",D12*F12*AN12)</f>
        <v/>
      </c>
      <c r="AA12" s="375"/>
      <c r="AD12" s="37" t="e">
        <f t="shared" ref="AD12:AD13" si="13">D12*F12*J12*$V$4*AH12</f>
        <v>#VALUE!</v>
      </c>
      <c r="AE12" s="37" t="e">
        <f t="shared" ref="AE12:AE13" si="14">D12*F12*J12*$X$4*AI12</f>
        <v>#VALUE!</v>
      </c>
      <c r="AG12" s="40" t="b">
        <v>0</v>
      </c>
      <c r="AH12" s="37" t="str">
        <f t="shared" ref="AH12:AH13" si="15">IF(AG12=TRUE,"0.93",IF(ISERROR(AK12),"エラー",IF(AK12&gt;0.93,"0.93",AK12)))</f>
        <v>エラー</v>
      </c>
      <c r="AI12" s="37" t="str">
        <f t="shared" ref="AI12:AI13" si="16">IF(AG12=TRUE,"0.51",IF(ISERROR(AL12),"エラー",IF(AL12&gt;0.72,"0.72",AL12)))</f>
        <v>エラー</v>
      </c>
      <c r="AK12" s="37" t="e">
        <f t="shared" ref="AK12:AK13" si="17">0.01*(16+24*(2*R12+T12)/P12)</f>
        <v>#DIV/0!</v>
      </c>
      <c r="AL12" s="37" t="e">
        <f t="shared" ref="AL12:AL13" si="18">0.01*(10+15*(2*R12+T12)/P12)</f>
        <v>#DIV/0!</v>
      </c>
      <c r="AN12" s="37">
        <f>IF(共通条件・結果!$AA$7="８地域",H12,IF(AO12="FALSE",H12,IF(L12="風除室",1/((1/H12)+0.1),0.5*H12+0.5*(1/((1/H12)+AO12)))))</f>
        <v>0</v>
      </c>
      <c r="AO12" s="95" t="str">
        <f t="shared" ref="AO12:AO13" si="19">IF(L12="","FALSE",IF(L12="雨戸",0.1,IF(L12="ｼｬｯﾀｰ",0.1,IF(L12="障子",0.18,IF(L12="風除室",0.1)))))</f>
        <v>FALSE</v>
      </c>
    </row>
    <row r="13" spans="2:41" s="37" customFormat="1" ht="21.95" customHeight="1">
      <c r="B13" s="419"/>
      <c r="C13" s="445"/>
      <c r="D13" s="488"/>
      <c r="E13" s="492"/>
      <c r="F13" s="493"/>
      <c r="G13" s="489"/>
      <c r="H13" s="488"/>
      <c r="I13" s="489"/>
      <c r="J13" s="488"/>
      <c r="K13" s="489"/>
      <c r="L13" s="495"/>
      <c r="M13" s="496"/>
      <c r="N13" s="428"/>
      <c r="O13" s="497"/>
      <c r="P13" s="430"/>
      <c r="Q13" s="432"/>
      <c r="R13" s="431"/>
      <c r="S13" s="432"/>
      <c r="T13" s="431"/>
      <c r="U13" s="426"/>
      <c r="V13" s="356" t="str">
        <f t="shared" si="10"/>
        <v/>
      </c>
      <c r="W13" s="357"/>
      <c r="X13" s="356" t="str">
        <f t="shared" si="11"/>
        <v/>
      </c>
      <c r="Y13" s="357"/>
      <c r="Z13" s="356" t="str">
        <f t="shared" si="12"/>
        <v/>
      </c>
      <c r="AA13" s="375"/>
      <c r="AD13" s="37" t="e">
        <f t="shared" si="13"/>
        <v>#VALUE!</v>
      </c>
      <c r="AE13" s="37" t="e">
        <f t="shared" si="14"/>
        <v>#VALUE!</v>
      </c>
      <c r="AG13" s="40" t="b">
        <v>0</v>
      </c>
      <c r="AH13" s="37" t="str">
        <f t="shared" si="15"/>
        <v>エラー</v>
      </c>
      <c r="AI13" s="37" t="str">
        <f t="shared" si="16"/>
        <v>エラー</v>
      </c>
      <c r="AK13" s="37" t="e">
        <f t="shared" si="17"/>
        <v>#DIV/0!</v>
      </c>
      <c r="AL13" s="37" t="e">
        <f t="shared" si="18"/>
        <v>#DIV/0!</v>
      </c>
      <c r="AN13" s="37">
        <f>IF(共通条件・結果!$AA$7="８地域",H13,IF(AO13="FALSE",H13,IF(L13="風除室",1/((1/H13)+0.1),0.5*H13+0.5*(1/((1/H13)+AO13)))))</f>
        <v>0</v>
      </c>
      <c r="AO13" s="95" t="str">
        <f t="shared" si="19"/>
        <v>FALSE</v>
      </c>
    </row>
    <row r="14" spans="2:41" s="37" customFormat="1" ht="21.95" customHeight="1">
      <c r="B14" s="419"/>
      <c r="C14" s="420"/>
      <c r="D14" s="421"/>
      <c r="E14" s="422"/>
      <c r="F14" s="422"/>
      <c r="G14" s="423"/>
      <c r="H14" s="370"/>
      <c r="I14" s="370"/>
      <c r="J14" s="370"/>
      <c r="K14" s="370"/>
      <c r="L14" s="398" t="s">
        <v>65</v>
      </c>
      <c r="M14" s="398"/>
      <c r="N14" s="428"/>
      <c r="O14" s="429"/>
      <c r="P14" s="430"/>
      <c r="Q14" s="432"/>
      <c r="R14" s="431"/>
      <c r="S14" s="432"/>
      <c r="T14" s="431"/>
      <c r="U14" s="426"/>
      <c r="V14" s="358" t="str">
        <f t="shared" si="2"/>
        <v/>
      </c>
      <c r="W14" s="358"/>
      <c r="X14" s="358" t="str">
        <f t="shared" si="0"/>
        <v/>
      </c>
      <c r="Y14" s="358"/>
      <c r="Z14" s="358" t="str">
        <f t="shared" si="3"/>
        <v/>
      </c>
      <c r="AA14" s="359"/>
      <c r="AD14" s="37" t="e">
        <f t="shared" si="4"/>
        <v>#VALUE!</v>
      </c>
      <c r="AE14" s="37" t="e">
        <f t="shared" si="5"/>
        <v>#VALUE!</v>
      </c>
      <c r="AG14" s="40" t="b">
        <v>0</v>
      </c>
      <c r="AH14" s="37" t="str">
        <f t="shared" si="6"/>
        <v>エラー</v>
      </c>
      <c r="AI14" s="37" t="str">
        <f t="shared" si="7"/>
        <v>エラー</v>
      </c>
      <c r="AK14" s="37" t="e">
        <f t="shared" si="8"/>
        <v>#DIV/0!</v>
      </c>
      <c r="AL14" s="37" t="e">
        <f t="shared" si="9"/>
        <v>#DIV/0!</v>
      </c>
      <c r="AN14" s="37" t="e">
        <f>IF(共通条件・結果!$AA$7="８地域",H14,IF(AO14="FALSE",H14,IF(L14="風除室",1/((1/H14)+0.1),0.5*H14+0.5*(1/((1/H14)+AO14)))))</f>
        <v>#DIV/0!</v>
      </c>
      <c r="AO14" s="39" t="b">
        <f t="shared" si="1"/>
        <v>0</v>
      </c>
    </row>
    <row r="15" spans="2:41" s="37" customFormat="1" ht="21.95" customHeight="1">
      <c r="B15" s="419"/>
      <c r="C15" s="420"/>
      <c r="D15" s="421"/>
      <c r="E15" s="422"/>
      <c r="F15" s="422"/>
      <c r="G15" s="423"/>
      <c r="H15" s="370"/>
      <c r="I15" s="370"/>
      <c r="J15" s="370"/>
      <c r="K15" s="370"/>
      <c r="L15" s="398" t="s">
        <v>65</v>
      </c>
      <c r="M15" s="398"/>
      <c r="N15" s="428"/>
      <c r="O15" s="429"/>
      <c r="P15" s="430"/>
      <c r="Q15" s="432"/>
      <c r="R15" s="431"/>
      <c r="S15" s="432"/>
      <c r="T15" s="431"/>
      <c r="U15" s="426"/>
      <c r="V15" s="356" t="str">
        <f t="shared" si="2"/>
        <v/>
      </c>
      <c r="W15" s="357"/>
      <c r="X15" s="358" t="str">
        <f t="shared" si="0"/>
        <v/>
      </c>
      <c r="Y15" s="358"/>
      <c r="Z15" s="358" t="str">
        <f t="shared" si="3"/>
        <v/>
      </c>
      <c r="AA15" s="359"/>
      <c r="AD15" s="37" t="e">
        <f t="shared" si="4"/>
        <v>#VALUE!</v>
      </c>
      <c r="AE15" s="37" t="e">
        <f t="shared" si="5"/>
        <v>#VALUE!</v>
      </c>
      <c r="AG15" s="40" t="b">
        <v>0</v>
      </c>
      <c r="AH15" s="37" t="str">
        <f t="shared" si="6"/>
        <v>エラー</v>
      </c>
      <c r="AI15" s="37" t="str">
        <f t="shared" si="7"/>
        <v>エラー</v>
      </c>
      <c r="AK15" s="37" t="e">
        <f t="shared" si="8"/>
        <v>#DIV/0!</v>
      </c>
      <c r="AL15" s="37" t="e">
        <f t="shared" si="9"/>
        <v>#DIV/0!</v>
      </c>
      <c r="AN15" s="37" t="e">
        <f>IF(共通条件・結果!$AA$7="８地域",H15,IF(AO15="FALSE",H15,IF(L15="風除室",1/((1/H15)+0.1),0.5*H15+0.5*(1/((1/H15)+AO15)))))</f>
        <v>#DIV/0!</v>
      </c>
      <c r="AO15" s="39" t="b">
        <f t="shared" si="1"/>
        <v>0</v>
      </c>
    </row>
    <row r="16" spans="2:41" s="37" customFormat="1" ht="21.95" customHeight="1">
      <c r="B16" s="419"/>
      <c r="C16" s="420"/>
      <c r="D16" s="421"/>
      <c r="E16" s="422"/>
      <c r="F16" s="422"/>
      <c r="G16" s="423"/>
      <c r="H16" s="370"/>
      <c r="I16" s="370"/>
      <c r="J16" s="370"/>
      <c r="K16" s="370"/>
      <c r="L16" s="398" t="s">
        <v>65</v>
      </c>
      <c r="M16" s="398"/>
      <c r="N16" s="428"/>
      <c r="O16" s="429"/>
      <c r="P16" s="430"/>
      <c r="Q16" s="432"/>
      <c r="R16" s="431"/>
      <c r="S16" s="432"/>
      <c r="T16" s="431"/>
      <c r="U16" s="426"/>
      <c r="V16" s="356" t="str">
        <f t="shared" si="2"/>
        <v/>
      </c>
      <c r="W16" s="357"/>
      <c r="X16" s="358" t="str">
        <f t="shared" si="0"/>
        <v/>
      </c>
      <c r="Y16" s="358"/>
      <c r="Z16" s="358" t="str">
        <f t="shared" si="3"/>
        <v/>
      </c>
      <c r="AA16" s="359"/>
      <c r="AD16" s="37" t="e">
        <f t="shared" si="4"/>
        <v>#VALUE!</v>
      </c>
      <c r="AE16" s="37" t="e">
        <f t="shared" si="5"/>
        <v>#VALUE!</v>
      </c>
      <c r="AG16" s="40" t="b">
        <v>0</v>
      </c>
      <c r="AH16" s="37" t="str">
        <f t="shared" si="6"/>
        <v>エラー</v>
      </c>
      <c r="AI16" s="37" t="str">
        <f t="shared" si="7"/>
        <v>エラー</v>
      </c>
      <c r="AK16" s="37" t="e">
        <f t="shared" si="8"/>
        <v>#DIV/0!</v>
      </c>
      <c r="AL16" s="37" t="e">
        <f t="shared" si="9"/>
        <v>#DIV/0!</v>
      </c>
      <c r="AN16" s="37" t="e">
        <f>IF(共通条件・結果!$AA$7="８地域",H16,IF(AO16="FALSE",H16,IF(L16="風除室",1/((1/H16)+0.1),0.5*H16+0.5*(1/((1/H16)+AO16)))))</f>
        <v>#DIV/0!</v>
      </c>
      <c r="AO16" s="39" t="b">
        <f t="shared" si="1"/>
        <v>0</v>
      </c>
    </row>
    <row r="17" spans="2:41" s="37" customFormat="1" ht="21.95" customHeight="1">
      <c r="B17" s="419"/>
      <c r="C17" s="420"/>
      <c r="D17" s="421"/>
      <c r="E17" s="422"/>
      <c r="F17" s="422"/>
      <c r="G17" s="423"/>
      <c r="H17" s="370"/>
      <c r="I17" s="370"/>
      <c r="J17" s="370"/>
      <c r="K17" s="370"/>
      <c r="L17" s="398" t="s">
        <v>65</v>
      </c>
      <c r="M17" s="398"/>
      <c r="N17" s="428"/>
      <c r="O17" s="429"/>
      <c r="P17" s="427"/>
      <c r="Q17" s="430"/>
      <c r="R17" s="431"/>
      <c r="S17" s="432"/>
      <c r="T17" s="431"/>
      <c r="U17" s="426"/>
      <c r="V17" s="356" t="str">
        <f t="shared" si="2"/>
        <v/>
      </c>
      <c r="W17" s="357"/>
      <c r="X17" s="358" t="str">
        <f t="shared" si="0"/>
        <v/>
      </c>
      <c r="Y17" s="358"/>
      <c r="Z17" s="358" t="str">
        <f t="shared" si="3"/>
        <v/>
      </c>
      <c r="AA17" s="359"/>
      <c r="AD17" s="37" t="e">
        <f t="shared" si="4"/>
        <v>#VALUE!</v>
      </c>
      <c r="AE17" s="37" t="e">
        <f t="shared" si="5"/>
        <v>#VALUE!</v>
      </c>
      <c r="AG17" s="40" t="b">
        <v>0</v>
      </c>
      <c r="AH17" s="37" t="str">
        <f t="shared" si="6"/>
        <v>エラー</v>
      </c>
      <c r="AI17" s="37" t="str">
        <f t="shared" si="7"/>
        <v>エラー</v>
      </c>
      <c r="AK17" s="37" t="e">
        <f t="shared" si="8"/>
        <v>#DIV/0!</v>
      </c>
      <c r="AL17" s="37" t="e">
        <f t="shared" si="9"/>
        <v>#DIV/0!</v>
      </c>
      <c r="AN17" s="37" t="e">
        <f>IF(共通条件・結果!$AA$7="８地域",H17,IF(AO17="FALSE",H17,IF(L17="風除室",1/((1/H17)+0.1),0.5*H17+0.5*(1/((1/H17)+AO17)))))</f>
        <v>#DIV/0!</v>
      </c>
      <c r="AO17" s="39" t="b">
        <f t="shared" si="1"/>
        <v>0</v>
      </c>
    </row>
    <row r="18" spans="2:41" s="37" customFormat="1" ht="21.95" customHeight="1">
      <c r="B18" s="419"/>
      <c r="C18" s="420"/>
      <c r="D18" s="421"/>
      <c r="E18" s="422"/>
      <c r="F18" s="422"/>
      <c r="G18" s="423"/>
      <c r="H18" s="370"/>
      <c r="I18" s="370"/>
      <c r="J18" s="370"/>
      <c r="K18" s="370"/>
      <c r="L18" s="398" t="s">
        <v>65</v>
      </c>
      <c r="M18" s="398"/>
      <c r="N18" s="428"/>
      <c r="O18" s="429"/>
      <c r="P18" s="427"/>
      <c r="Q18" s="430"/>
      <c r="R18" s="424"/>
      <c r="S18" s="425"/>
      <c r="T18" s="426"/>
      <c r="U18" s="427"/>
      <c r="V18" s="356" t="str">
        <f t="shared" si="2"/>
        <v/>
      </c>
      <c r="W18" s="357"/>
      <c r="X18" s="358" t="str">
        <f t="shared" si="0"/>
        <v/>
      </c>
      <c r="Y18" s="358"/>
      <c r="Z18" s="358" t="str">
        <f t="shared" si="3"/>
        <v/>
      </c>
      <c r="AA18" s="359"/>
      <c r="AD18" s="37" t="e">
        <f t="shared" si="4"/>
        <v>#VALUE!</v>
      </c>
      <c r="AE18" s="37" t="e">
        <f t="shared" si="5"/>
        <v>#VALUE!</v>
      </c>
      <c r="AG18" s="40" t="b">
        <v>0</v>
      </c>
      <c r="AH18" s="37" t="str">
        <f t="shared" si="6"/>
        <v>エラー</v>
      </c>
      <c r="AI18" s="37" t="str">
        <f t="shared" si="7"/>
        <v>エラー</v>
      </c>
      <c r="AK18" s="37" t="e">
        <f t="shared" si="8"/>
        <v>#DIV/0!</v>
      </c>
      <c r="AL18" s="37" t="e">
        <f t="shared" si="9"/>
        <v>#DIV/0!</v>
      </c>
      <c r="AN18" s="37" t="e">
        <f>IF(共通条件・結果!$AA$7="８地域",H18,IF(AO18="FALSE",H18,IF(L18="風除室",1/((1/H18)+0.1),0.5*H18+0.5*(1/((1/H18)+AO18)))))</f>
        <v>#DIV/0!</v>
      </c>
      <c r="AO18" s="39" t="b">
        <f t="shared" si="1"/>
        <v>0</v>
      </c>
    </row>
    <row r="19" spans="2:41" s="37" customFormat="1" ht="21.95" customHeight="1" thickBot="1">
      <c r="B19" s="350"/>
      <c r="C19" s="417"/>
      <c r="D19" s="394"/>
      <c r="E19" s="395"/>
      <c r="F19" s="395"/>
      <c r="G19" s="396"/>
      <c r="H19" s="397"/>
      <c r="I19" s="397"/>
      <c r="J19" s="397"/>
      <c r="K19" s="397"/>
      <c r="L19" s="410" t="s">
        <v>65</v>
      </c>
      <c r="M19" s="410"/>
      <c r="N19" s="411"/>
      <c r="O19" s="412"/>
      <c r="P19" s="413"/>
      <c r="Q19" s="414"/>
      <c r="R19" s="415"/>
      <c r="S19" s="416"/>
      <c r="T19" s="418"/>
      <c r="U19" s="413"/>
      <c r="V19" s="356" t="str">
        <f t="shared" si="2"/>
        <v/>
      </c>
      <c r="W19" s="357"/>
      <c r="X19" s="358" t="str">
        <f t="shared" si="0"/>
        <v/>
      </c>
      <c r="Y19" s="358"/>
      <c r="Z19" s="367" t="str">
        <f t="shared" si="3"/>
        <v/>
      </c>
      <c r="AA19" s="374"/>
      <c r="AD19" s="37" t="e">
        <f t="shared" si="4"/>
        <v>#VALUE!</v>
      </c>
      <c r="AE19" s="37" t="e">
        <f t="shared" si="5"/>
        <v>#VALUE!</v>
      </c>
      <c r="AG19" s="40" t="b">
        <v>0</v>
      </c>
      <c r="AH19" s="37" t="str">
        <f t="shared" si="6"/>
        <v>エラー</v>
      </c>
      <c r="AI19" s="37" t="str">
        <f t="shared" si="7"/>
        <v>エラー</v>
      </c>
      <c r="AK19" s="37" t="e">
        <f t="shared" si="8"/>
        <v>#DIV/0!</v>
      </c>
      <c r="AL19" s="37" t="e">
        <f t="shared" si="9"/>
        <v>#DIV/0!</v>
      </c>
      <c r="AN19" s="37" t="e">
        <f>IF(共通条件・結果!$AA$7="８地域",H19,IF(AO19="FALSE",H19,IF(L19="風除室",1/((1/H19)+0.1),0.5*H19+0.5*(1/((1/H19)+AO19)))))</f>
        <v>#DIV/0!</v>
      </c>
      <c r="AO19" s="39" t="b">
        <f t="shared" si="1"/>
        <v>0</v>
      </c>
    </row>
    <row r="20" spans="2:41" s="37" customFormat="1" ht="21.95" customHeight="1" thickBot="1">
      <c r="B20" s="408" t="s">
        <v>135</v>
      </c>
      <c r="C20" s="409"/>
      <c r="D20" s="409"/>
      <c r="E20" s="409"/>
      <c r="F20" s="409"/>
      <c r="G20" s="409"/>
      <c r="H20" s="409"/>
      <c r="I20" s="409"/>
      <c r="J20" s="409"/>
      <c r="K20" s="409"/>
      <c r="L20" s="409"/>
      <c r="M20" s="409"/>
      <c r="N20" s="409"/>
      <c r="O20" s="409"/>
      <c r="P20" s="409"/>
      <c r="Q20" s="409"/>
      <c r="R20" s="409"/>
      <c r="S20" s="409"/>
      <c r="T20" s="409"/>
      <c r="U20" s="409"/>
      <c r="V20" s="344">
        <f>SUM(V8:W19)</f>
        <v>0</v>
      </c>
      <c r="W20" s="344"/>
      <c r="X20" s="344">
        <f>SUM(X8:Y19)</f>
        <v>0</v>
      </c>
      <c r="Y20" s="344"/>
      <c r="Z20" s="344">
        <f>SUM(Z8:AA19)</f>
        <v>0</v>
      </c>
      <c r="AA20" s="345"/>
    </row>
    <row r="21" spans="2:41" s="37" customFormat="1" ht="9.9499999999999993" customHeight="1">
      <c r="AN21" s="401"/>
      <c r="AO21" s="401"/>
    </row>
    <row r="22" spans="2:41" s="37" customFormat="1" ht="21.95" customHeight="1" thickBot="1">
      <c r="J22" s="38" t="s">
        <v>15</v>
      </c>
      <c r="K22" s="38"/>
      <c r="L22" s="38"/>
    </row>
    <row r="23" spans="2:41" s="37" customFormat="1" ht="21.95" customHeight="1">
      <c r="J23" s="465" t="s">
        <v>16</v>
      </c>
      <c r="K23" s="486"/>
      <c r="L23" s="486"/>
      <c r="M23" s="466"/>
      <c r="N23" s="361" t="s">
        <v>91</v>
      </c>
      <c r="O23" s="361"/>
      <c r="P23" s="361"/>
      <c r="Q23" s="361"/>
      <c r="R23" s="361" t="s">
        <v>7</v>
      </c>
      <c r="S23" s="361"/>
      <c r="T23" s="402" t="s">
        <v>10</v>
      </c>
      <c r="U23" s="403"/>
      <c r="V23" s="360" t="s">
        <v>68</v>
      </c>
      <c r="W23" s="361"/>
      <c r="X23" s="360" t="s">
        <v>67</v>
      </c>
      <c r="Y23" s="361"/>
      <c r="Z23" s="361" t="s">
        <v>13</v>
      </c>
      <c r="AA23" s="363"/>
      <c r="AN23" s="401" t="s">
        <v>89</v>
      </c>
      <c r="AO23" s="401"/>
    </row>
    <row r="24" spans="2:41" s="37" customFormat="1" ht="21.95" customHeight="1" thickBot="1">
      <c r="J24" s="467"/>
      <c r="K24" s="475"/>
      <c r="L24" s="475"/>
      <c r="M24" s="438"/>
      <c r="N24" s="405" t="s">
        <v>9</v>
      </c>
      <c r="O24" s="406"/>
      <c r="P24" s="407" t="s">
        <v>8</v>
      </c>
      <c r="Q24" s="362"/>
      <c r="R24" s="362"/>
      <c r="S24" s="362"/>
      <c r="T24" s="404"/>
      <c r="U24" s="404"/>
      <c r="V24" s="362"/>
      <c r="W24" s="362"/>
      <c r="X24" s="362"/>
      <c r="Y24" s="362"/>
      <c r="Z24" s="362"/>
      <c r="AA24" s="364"/>
      <c r="AN24" s="97" t="s">
        <v>87</v>
      </c>
      <c r="AO24" s="37" t="s">
        <v>85</v>
      </c>
    </row>
    <row r="25" spans="2:41" s="37" customFormat="1" ht="21.95" customHeight="1">
      <c r="C25" s="41"/>
      <c r="D25" s="41"/>
      <c r="E25" s="41"/>
      <c r="F25" s="41"/>
      <c r="G25" s="41"/>
      <c r="H25" s="41"/>
      <c r="I25" s="41"/>
      <c r="J25" s="433"/>
      <c r="K25" s="487"/>
      <c r="L25" s="487"/>
      <c r="M25" s="446"/>
      <c r="N25" s="435"/>
      <c r="O25" s="436"/>
      <c r="P25" s="436"/>
      <c r="Q25" s="437"/>
      <c r="R25" s="392"/>
      <c r="S25" s="392"/>
      <c r="T25" s="485"/>
      <c r="U25" s="485"/>
      <c r="V25" s="368" t="str">
        <f>IF(N25="","",N25*P25*R25*0.034*$V$4)</f>
        <v/>
      </c>
      <c r="W25" s="368"/>
      <c r="X25" s="368" t="str">
        <f>IF(N25="","",IF(ISERROR(N25*P25*R25*0.034*$X$4),"-",N25*P25*R25*0.034*$X$4))</f>
        <v/>
      </c>
      <c r="Y25" s="368"/>
      <c r="Z25" s="368" t="str">
        <f>IF(N25="","",N25*P25*AN25)</f>
        <v/>
      </c>
      <c r="AA25" s="369"/>
      <c r="AN25" s="37">
        <f>IF(共通条件・結果!$AA$7="８地域",R25,IF(AO25="FALSE",R25,IF(T25="風除室",1/((1/R25)+0.1),0.5*R25+0.5*(1/((1/R25)+AO25)))))</f>
        <v>0</v>
      </c>
      <c r="AO25" s="39" t="str">
        <f>IF(T25="","FALSE",IF(T25="雨戸",0.1,IF(T25="ｼｬｯﾀｰ",0.1,IF(T25="障子",0.18,IF(T25="風除室",0.1)))))</f>
        <v>FALSE</v>
      </c>
    </row>
    <row r="26" spans="2:41" s="37" customFormat="1" ht="21.95" customHeight="1">
      <c r="C26" s="41"/>
      <c r="D26" s="41"/>
      <c r="E26" s="41"/>
      <c r="F26" s="41"/>
      <c r="G26" s="41"/>
      <c r="H26" s="41"/>
      <c r="I26" s="41"/>
      <c r="J26" s="419"/>
      <c r="K26" s="494"/>
      <c r="L26" s="494"/>
      <c r="M26" s="445"/>
      <c r="N26" s="488"/>
      <c r="O26" s="492"/>
      <c r="P26" s="493"/>
      <c r="Q26" s="489"/>
      <c r="R26" s="488"/>
      <c r="S26" s="489"/>
      <c r="T26" s="495"/>
      <c r="U26" s="496"/>
      <c r="V26" s="356" t="str">
        <f>IF(N26="","",N26*P26*R26*0.034*$V$4)</f>
        <v/>
      </c>
      <c r="W26" s="357"/>
      <c r="X26" s="356" t="str">
        <f>IF(N26="","",IF(ISERROR(N26*P26*R26*0.034*$X$4),"-",N26*P26*R26*0.034*$X$4))</f>
        <v/>
      </c>
      <c r="Y26" s="357"/>
      <c r="Z26" s="356" t="str">
        <f>IF(N26="","",N26*P26*AN26)</f>
        <v/>
      </c>
      <c r="AA26" s="375"/>
      <c r="AN26" s="37">
        <f>IF(共通条件・結果!$AA$7="８地域",R26,IF(AO26="FALSE",R26,IF(T26="風除室",1/((1/R26)+0.1),0.5*R26+0.5*(1/((1/R26)+AO26)))))</f>
        <v>0</v>
      </c>
      <c r="AO26" s="95" t="str">
        <f>IF(T26="","FALSE",IF(T26="雨戸",0.1,IF(T26="ｼｬｯﾀｰ",0.1,IF(T26="障子",0.18,IF(T26="風除室",0.1)))))</f>
        <v>FALSE</v>
      </c>
    </row>
    <row r="27" spans="2:41" s="37" customFormat="1" ht="21.95" customHeight="1" thickBot="1">
      <c r="C27" s="41"/>
      <c r="D27" s="41"/>
      <c r="E27" s="41"/>
      <c r="F27" s="41"/>
      <c r="G27" s="41"/>
      <c r="H27" s="41"/>
      <c r="I27" s="41"/>
      <c r="J27" s="350"/>
      <c r="K27" s="464"/>
      <c r="L27" s="464"/>
      <c r="M27" s="351"/>
      <c r="N27" s="394"/>
      <c r="O27" s="395"/>
      <c r="P27" s="395"/>
      <c r="Q27" s="396"/>
      <c r="R27" s="397"/>
      <c r="S27" s="397"/>
      <c r="T27" s="398" t="s">
        <v>65</v>
      </c>
      <c r="U27" s="398"/>
      <c r="V27" s="399" t="str">
        <f>IF(N27="","",N27*P27*R27*0.034*$V$4)</f>
        <v/>
      </c>
      <c r="W27" s="399"/>
      <c r="X27" s="399" t="str">
        <f>IF(N27="","",IF(ISERROR(N27*P27*R27*0.034*$X$4),"-",N27*P27*R27*0.034*$X$4))</f>
        <v/>
      </c>
      <c r="Y27" s="399"/>
      <c r="Z27" s="399" t="str">
        <f>IF(N27="","",N27*P27*AN27)</f>
        <v/>
      </c>
      <c r="AA27" s="400"/>
      <c r="AN27" s="37" t="e">
        <f>IF(共通条件・結果!$AA$7="８地域",R27,IF(AO27="FALSE",R27,IF(T27="風除室",1/((1/R27)+0.1),0.5*R27+0.5*(1/((1/R27)+AO27)))))</f>
        <v>#DIV/0!</v>
      </c>
      <c r="AO27" s="39" t="b">
        <f>IF(T27="","FALSE",IF(T27="雨戸",0.1,IF(T27="ｼｬｯﾀｰ",0.1,IF(T27="障子",0.18,IF(T27="風除室",0.1)))))</f>
        <v>0</v>
      </c>
    </row>
    <row r="28" spans="2:41" s="37" customFormat="1" ht="21.95" customHeight="1" thickBot="1">
      <c r="C28" s="41"/>
      <c r="D28" s="41"/>
      <c r="E28" s="41"/>
      <c r="F28" s="41"/>
      <c r="G28" s="41"/>
      <c r="H28" s="41"/>
      <c r="I28" s="41"/>
      <c r="J28" s="408" t="s">
        <v>149</v>
      </c>
      <c r="K28" s="409"/>
      <c r="L28" s="409"/>
      <c r="M28" s="409"/>
      <c r="N28" s="409"/>
      <c r="O28" s="409"/>
      <c r="P28" s="409"/>
      <c r="Q28" s="409"/>
      <c r="R28" s="409"/>
      <c r="S28" s="409"/>
      <c r="T28" s="409"/>
      <c r="U28" s="468"/>
      <c r="V28" s="344">
        <f>SUM(V25:W27)</f>
        <v>0</v>
      </c>
      <c r="W28" s="344"/>
      <c r="X28" s="344">
        <f>SUM(X25:Y27)</f>
        <v>0</v>
      </c>
      <c r="Y28" s="344"/>
      <c r="Z28" s="344">
        <f>SUM(Z25:AA27)</f>
        <v>0</v>
      </c>
      <c r="AA28" s="345"/>
      <c r="AO28" s="39"/>
    </row>
    <row r="29" spans="2:41" s="37" customFormat="1" ht="9.9499999999999993" customHeight="1">
      <c r="C29" s="41"/>
      <c r="D29" s="41"/>
      <c r="E29" s="41"/>
      <c r="F29" s="41"/>
      <c r="G29" s="41"/>
      <c r="H29" s="41"/>
      <c r="I29" s="41"/>
      <c r="J29" s="41"/>
      <c r="AO29" s="39"/>
    </row>
    <row r="30" spans="2:41" s="37" customFormat="1" ht="21.95" customHeight="1" thickBot="1">
      <c r="C30" s="41"/>
      <c r="D30" s="41"/>
      <c r="E30" s="41"/>
      <c r="F30" s="41"/>
      <c r="G30" s="41"/>
      <c r="H30" s="41"/>
      <c r="I30" s="41"/>
      <c r="J30" s="38" t="s">
        <v>17</v>
      </c>
      <c r="K30" s="38"/>
      <c r="L30" s="38"/>
      <c r="AO30" s="39"/>
    </row>
    <row r="31" spans="2:41" s="37" customFormat="1" ht="21.95" customHeight="1">
      <c r="C31" s="41"/>
      <c r="D31" s="41"/>
      <c r="E31" s="41"/>
      <c r="F31" s="41"/>
      <c r="G31" s="41"/>
      <c r="H31" s="41"/>
      <c r="I31" s="41"/>
      <c r="J31" s="465" t="s">
        <v>0</v>
      </c>
      <c r="K31" s="466"/>
      <c r="L31" s="376" t="s">
        <v>53</v>
      </c>
      <c r="M31" s="377"/>
      <c r="N31" s="376" t="s">
        <v>170</v>
      </c>
      <c r="O31" s="377"/>
      <c r="P31" s="380" t="s">
        <v>54</v>
      </c>
      <c r="Q31" s="381"/>
      <c r="R31" s="361" t="s">
        <v>7</v>
      </c>
      <c r="S31" s="361"/>
      <c r="T31" s="384" t="s">
        <v>150</v>
      </c>
      <c r="U31" s="385"/>
      <c r="V31" s="360" t="s">
        <v>68</v>
      </c>
      <c r="W31" s="361"/>
      <c r="X31" s="360" t="s">
        <v>67</v>
      </c>
      <c r="Y31" s="361"/>
      <c r="Z31" s="361" t="s">
        <v>13</v>
      </c>
      <c r="AA31" s="363"/>
      <c r="AD31" s="40"/>
      <c r="AE31" s="40"/>
      <c r="AF31" s="40"/>
      <c r="AO31" s="39"/>
    </row>
    <row r="32" spans="2:41" s="37" customFormat="1" ht="21.95" customHeight="1" thickBot="1">
      <c r="C32" s="41"/>
      <c r="D32" s="41"/>
      <c r="E32" s="41"/>
      <c r="F32" s="41"/>
      <c r="G32" s="41"/>
      <c r="H32" s="41"/>
      <c r="I32" s="41"/>
      <c r="J32" s="467"/>
      <c r="K32" s="438"/>
      <c r="L32" s="378"/>
      <c r="M32" s="379"/>
      <c r="N32" s="378"/>
      <c r="O32" s="379"/>
      <c r="P32" s="382"/>
      <c r="Q32" s="383"/>
      <c r="R32" s="362"/>
      <c r="S32" s="362"/>
      <c r="T32" s="386"/>
      <c r="U32" s="387"/>
      <c r="V32" s="362"/>
      <c r="W32" s="362"/>
      <c r="X32" s="362"/>
      <c r="Y32" s="362"/>
      <c r="Z32" s="362"/>
      <c r="AA32" s="364"/>
      <c r="AE32" s="37" t="s">
        <v>140</v>
      </c>
      <c r="AF32" s="37" t="s">
        <v>141</v>
      </c>
    </row>
    <row r="33" spans="2:32" s="37" customFormat="1" ht="21.95" customHeight="1">
      <c r="C33" s="41"/>
      <c r="D33" s="41"/>
      <c r="E33" s="41"/>
      <c r="F33" s="41"/>
      <c r="G33" s="41"/>
      <c r="H33" s="41"/>
      <c r="I33" s="41"/>
      <c r="J33" s="433" t="s">
        <v>1</v>
      </c>
      <c r="K33" s="446"/>
      <c r="L33" s="388">
        <v>0</v>
      </c>
      <c r="M33" s="389"/>
      <c r="N33" s="388">
        <f>Q41+U41</f>
        <v>0</v>
      </c>
      <c r="O33" s="389"/>
      <c r="P33" s="390">
        <f>IF(L33="","",L33-N33)</f>
        <v>0</v>
      </c>
      <c r="Q33" s="391"/>
      <c r="R33" s="392">
        <f>ROUND((IF(L33="","",部位U計算!$F$52)),3)</f>
        <v>0.49</v>
      </c>
      <c r="S33" s="392"/>
      <c r="T33" s="393"/>
      <c r="U33" s="393"/>
      <c r="V33" s="368">
        <f>IF(P33="","",IF(AD33=TRUE,0,P33*R33*0.034*$V$4))</f>
        <v>0</v>
      </c>
      <c r="W33" s="368"/>
      <c r="X33" s="500">
        <f>IF(P33="","",IF(ISERROR(P33*R33*0.034*$X$4),"-",IF(AD33=TRUE,0,P33*R33*0.034*$X$4)))</f>
        <v>0</v>
      </c>
      <c r="Y33" s="501"/>
      <c r="Z33" s="368">
        <f>IF(R33="","",IF(AD33=TRUE,0.7*R33*P33,R33*P33))</f>
        <v>0</v>
      </c>
      <c r="AA33" s="369"/>
      <c r="AD33" s="40" t="b">
        <v>0</v>
      </c>
      <c r="AE33" s="40">
        <f>IF(AD33=TRUE,0.7,1)</f>
        <v>1</v>
      </c>
      <c r="AF33" s="40" t="str">
        <f>IF(AD33=TRUE,0,"セル")</f>
        <v>セル</v>
      </c>
    </row>
    <row r="34" spans="2:32" s="37" customFormat="1" ht="21.95" customHeight="1">
      <c r="C34" s="41"/>
      <c r="D34" s="41"/>
      <c r="E34" s="41"/>
      <c r="F34" s="41"/>
      <c r="G34" s="41"/>
      <c r="H34" s="41"/>
      <c r="I34" s="41"/>
      <c r="J34" s="419" t="s">
        <v>387</v>
      </c>
      <c r="K34" s="445"/>
      <c r="L34" s="488">
        <v>0</v>
      </c>
      <c r="M34" s="489"/>
      <c r="N34" s="488"/>
      <c r="O34" s="489"/>
      <c r="P34" s="490">
        <f t="shared" ref="P34:P35" si="20">IF(L34="","",L34-N34)</f>
        <v>0</v>
      </c>
      <c r="Q34" s="491"/>
      <c r="R34" s="488">
        <f>ROUND(IF(L34="","",部位U計算!$F$100),2)</f>
        <v>0.49</v>
      </c>
      <c r="S34" s="489"/>
      <c r="T34" s="498"/>
      <c r="U34" s="499"/>
      <c r="V34" s="356">
        <f t="shared" ref="V34:V35" si="21">IF(P34="","",IF(AD34=TRUE,0,P34*R34*0.034*$V$4))</f>
        <v>0</v>
      </c>
      <c r="W34" s="357"/>
      <c r="X34" s="356">
        <f t="shared" ref="X34:X35" si="22">IF(P34="","",IF(ISERROR(P34*R34*0.034*$X$4),"-",IF(AD34=TRUE,0,P34*R34*0.034*$X$4)))</f>
        <v>0</v>
      </c>
      <c r="Y34" s="357"/>
      <c r="Z34" s="356">
        <f t="shared" ref="Z34:Z35" si="23">IF(R34="","",IF(AD34=TRUE,0.7*R34*P34,R34*P34))</f>
        <v>0</v>
      </c>
      <c r="AA34" s="375"/>
      <c r="AD34" s="40" t="b">
        <v>0</v>
      </c>
      <c r="AE34" s="40">
        <f t="shared" ref="AE34:AE35" si="24">IF(AD34=TRUE,0.7,1)</f>
        <v>1</v>
      </c>
      <c r="AF34" s="40" t="str">
        <f t="shared" ref="AF34:AF35" si="25">IF(AD34=TRUE,0,"セル")</f>
        <v>セル</v>
      </c>
    </row>
    <row r="35" spans="2:32" s="37" customFormat="1" ht="21.95" customHeight="1">
      <c r="C35" s="41"/>
      <c r="D35" s="41"/>
      <c r="E35" s="41"/>
      <c r="F35" s="41"/>
      <c r="G35" s="41"/>
      <c r="H35" s="41"/>
      <c r="I35" s="41"/>
      <c r="J35" s="419" t="s">
        <v>387</v>
      </c>
      <c r="K35" s="445"/>
      <c r="L35" s="488">
        <v>0</v>
      </c>
      <c r="M35" s="489"/>
      <c r="N35" s="488"/>
      <c r="O35" s="489"/>
      <c r="P35" s="490">
        <f t="shared" si="20"/>
        <v>0</v>
      </c>
      <c r="Q35" s="491"/>
      <c r="R35" s="488">
        <f>ROUND(IF(L35="","",部位U計算!$F$114),2)</f>
        <v>1.18</v>
      </c>
      <c r="S35" s="489"/>
      <c r="T35" s="498"/>
      <c r="U35" s="499"/>
      <c r="V35" s="356">
        <f t="shared" si="21"/>
        <v>0</v>
      </c>
      <c r="W35" s="357"/>
      <c r="X35" s="356">
        <f t="shared" si="22"/>
        <v>0</v>
      </c>
      <c r="Y35" s="357"/>
      <c r="Z35" s="356">
        <f t="shared" si="23"/>
        <v>0</v>
      </c>
      <c r="AA35" s="375"/>
      <c r="AD35" s="40" t="b">
        <v>1</v>
      </c>
      <c r="AE35" s="40">
        <f t="shared" si="24"/>
        <v>0.7</v>
      </c>
      <c r="AF35" s="40">
        <f t="shared" si="25"/>
        <v>0</v>
      </c>
    </row>
    <row r="36" spans="2:32" s="37" customFormat="1" ht="21.95" customHeight="1">
      <c r="C36" s="41"/>
      <c r="D36" s="41"/>
      <c r="E36" s="41"/>
      <c r="F36" s="41"/>
      <c r="G36" s="41"/>
      <c r="H36" s="41"/>
      <c r="I36" s="41"/>
      <c r="J36" s="419" t="s">
        <v>388</v>
      </c>
      <c r="K36" s="445"/>
      <c r="L36" s="488">
        <v>0</v>
      </c>
      <c r="M36" s="489"/>
      <c r="N36" s="488"/>
      <c r="O36" s="489"/>
      <c r="P36" s="490">
        <f>IF(L36="","",L36-N36)</f>
        <v>0</v>
      </c>
      <c r="Q36" s="491"/>
      <c r="R36" s="370">
        <f>ROUND(IF(L36="","",部位U計算!$F$128),2)</f>
        <v>0.49</v>
      </c>
      <c r="S36" s="370"/>
      <c r="T36" s="371"/>
      <c r="U36" s="371"/>
      <c r="V36" s="358">
        <f>IF(P36="","",IF(AD36=TRUE,0,P36*R36*0.034*$V$4))</f>
        <v>0</v>
      </c>
      <c r="W36" s="358"/>
      <c r="X36" s="356">
        <f>IF(P36="","",IF(ISERROR(P36*R36*0.034*$X$4),"-",IF(AD36=TRUE,0,P36*R36*0.034*$X$4)))</f>
        <v>0</v>
      </c>
      <c r="Y36" s="357"/>
      <c r="Z36" s="358">
        <f>IF(R36="","",IF(AD36=TRUE,0.7*R36*P36,R36*P36))</f>
        <v>0</v>
      </c>
      <c r="AA36" s="359"/>
      <c r="AD36" s="40" t="b">
        <v>0</v>
      </c>
      <c r="AE36" s="40">
        <f>IF(AD36=TRUE,0.7,1)</f>
        <v>1</v>
      </c>
      <c r="AF36" s="40" t="str">
        <f>IF(AD36=TRUE,0,"セル")</f>
        <v>セル</v>
      </c>
    </row>
    <row r="37" spans="2:32" s="37" customFormat="1" ht="21.95" customHeight="1" thickBot="1">
      <c r="J37" s="350" t="s">
        <v>388</v>
      </c>
      <c r="K37" s="351"/>
      <c r="L37" s="346">
        <v>0</v>
      </c>
      <c r="M37" s="347"/>
      <c r="N37" s="346"/>
      <c r="O37" s="347"/>
      <c r="P37" s="348">
        <f>IF(L37="","",L37-N37)</f>
        <v>0</v>
      </c>
      <c r="Q37" s="349"/>
      <c r="R37" s="365">
        <f>ROUND(IF(L37="","",部位U計算!$F$142),2)</f>
        <v>1.18</v>
      </c>
      <c r="S37" s="365"/>
      <c r="T37" s="366"/>
      <c r="U37" s="366"/>
      <c r="V37" s="367">
        <f>IF(P37="","",IF(AD37=TRUE,0,P37*R37*0.034*$V$4))</f>
        <v>0</v>
      </c>
      <c r="W37" s="367"/>
      <c r="X37" s="372">
        <f>IF(P37="","",IF(ISERROR(P37*R37*0.034*$X$4),"-",IF(AD37=TRUE,0,P37*R37*0.034*$X$4)))</f>
        <v>0</v>
      </c>
      <c r="Y37" s="373"/>
      <c r="Z37" s="367">
        <f>IF(R37="","",IF(AD37=TRUE,0.7*R37*P37,R37*P37))</f>
        <v>0</v>
      </c>
      <c r="AA37" s="374"/>
      <c r="AD37" s="40" t="b">
        <v>1</v>
      </c>
      <c r="AE37" s="40">
        <f>IF(AD37=TRUE,0.7,1)</f>
        <v>0.7</v>
      </c>
      <c r="AF37" s="40">
        <f>IF(AD37=TRUE,0,"セル")</f>
        <v>0</v>
      </c>
    </row>
    <row r="38" spans="2:32" s="37" customFormat="1" ht="21.95" customHeight="1" thickBot="1">
      <c r="J38" s="408" t="s">
        <v>136</v>
      </c>
      <c r="K38" s="409"/>
      <c r="L38" s="409"/>
      <c r="M38" s="409"/>
      <c r="N38" s="409"/>
      <c r="O38" s="409"/>
      <c r="P38" s="409"/>
      <c r="Q38" s="409"/>
      <c r="R38" s="409"/>
      <c r="S38" s="409"/>
      <c r="T38" s="409"/>
      <c r="U38" s="468"/>
      <c r="V38" s="344">
        <f>SUM(V33:W37)</f>
        <v>0</v>
      </c>
      <c r="W38" s="344"/>
      <c r="X38" s="344">
        <f>SUM(X33:Y37)</f>
        <v>0</v>
      </c>
      <c r="Y38" s="344"/>
      <c r="Z38" s="344">
        <f>SUM(Z33:AA37)</f>
        <v>0</v>
      </c>
      <c r="AA38" s="345"/>
    </row>
    <row r="39" spans="2:32" s="37" customFormat="1" ht="9.9499999999999993" customHeight="1"/>
    <row r="40" spans="2:32" s="37" customFormat="1" ht="21.95" customHeight="1" thickBot="1">
      <c r="B40" s="38" t="s">
        <v>137</v>
      </c>
    </row>
    <row r="41" spans="2:32" s="37" customFormat="1" ht="21.95" customHeight="1">
      <c r="B41" s="327" t="s">
        <v>108</v>
      </c>
      <c r="C41" s="328"/>
      <c r="D41" s="333" t="s">
        <v>56</v>
      </c>
      <c r="E41" s="334"/>
      <c r="F41" s="334"/>
      <c r="G41" s="334"/>
      <c r="H41" s="334"/>
      <c r="I41" s="334"/>
      <c r="J41" s="335"/>
      <c r="K41" s="42"/>
      <c r="L41" s="336">
        <f>Q41+U41+Y41</f>
        <v>0</v>
      </c>
      <c r="M41" s="336"/>
      <c r="N41" s="336"/>
      <c r="O41" s="42" t="s">
        <v>24</v>
      </c>
      <c r="P41" s="43" t="s">
        <v>23</v>
      </c>
      <c r="Q41" s="337">
        <f>D8*F8+D9*F9+D10*F10+D11*F11+D12*F12+D13*F13+D14*F14+D15*F15+D16*F16+D17*F17+D18*F18+D19*F19</f>
        <v>0</v>
      </c>
      <c r="R41" s="337"/>
      <c r="S41" s="44" t="s">
        <v>25</v>
      </c>
      <c r="T41" s="44" t="s">
        <v>22</v>
      </c>
      <c r="U41" s="338">
        <f>N25*P25+N26*P26+N27*P27</f>
        <v>0</v>
      </c>
      <c r="V41" s="338"/>
      <c r="W41" s="44" t="s">
        <v>25</v>
      </c>
      <c r="X41" s="44" t="s">
        <v>1</v>
      </c>
      <c r="Y41" s="339">
        <f>SUM(P33:Q37)</f>
        <v>0</v>
      </c>
      <c r="Z41" s="339"/>
      <c r="AA41" s="45" t="s">
        <v>19</v>
      </c>
    </row>
    <row r="42" spans="2:32" s="37" customFormat="1" ht="21.95" customHeight="1">
      <c r="B42" s="329"/>
      <c r="C42" s="330"/>
      <c r="D42" s="340" t="s">
        <v>72</v>
      </c>
      <c r="E42" s="341"/>
      <c r="F42" s="341"/>
      <c r="G42" s="341"/>
      <c r="H42" s="341"/>
      <c r="I42" s="341"/>
      <c r="J42" s="342"/>
      <c r="K42" s="46"/>
      <c r="L42" s="46"/>
      <c r="M42" s="46"/>
      <c r="N42" s="46"/>
      <c r="O42" s="46"/>
      <c r="P42" s="46"/>
      <c r="Q42" s="46"/>
      <c r="R42" s="46"/>
      <c r="S42" s="46"/>
      <c r="T42" s="46"/>
      <c r="U42" s="46"/>
      <c r="V42" s="46"/>
      <c r="W42" s="343">
        <f>V20+V28+V38</f>
        <v>0</v>
      </c>
      <c r="X42" s="343"/>
      <c r="Y42" s="343"/>
      <c r="Z42" s="46"/>
      <c r="AA42" s="47"/>
    </row>
    <row r="43" spans="2:32" s="37" customFormat="1" ht="21.95" customHeight="1">
      <c r="B43" s="329"/>
      <c r="C43" s="330"/>
      <c r="D43" s="340" t="s">
        <v>73</v>
      </c>
      <c r="E43" s="341"/>
      <c r="F43" s="341"/>
      <c r="G43" s="341"/>
      <c r="H43" s="341"/>
      <c r="I43" s="341"/>
      <c r="J43" s="342"/>
      <c r="K43" s="46"/>
      <c r="L43" s="46"/>
      <c r="M43" s="46"/>
      <c r="N43" s="46"/>
      <c r="O43" s="46"/>
      <c r="P43" s="46"/>
      <c r="Q43" s="46"/>
      <c r="R43" s="46"/>
      <c r="S43" s="46"/>
      <c r="T43" s="46"/>
      <c r="U43" s="46"/>
      <c r="V43" s="46"/>
      <c r="W43" s="343">
        <f>X20+X28+X38</f>
        <v>0</v>
      </c>
      <c r="X43" s="343"/>
      <c r="Y43" s="343"/>
      <c r="Z43" s="46"/>
      <c r="AA43" s="47"/>
    </row>
    <row r="44" spans="2:32" s="37" customFormat="1" ht="21.95" customHeight="1" thickBot="1">
      <c r="B44" s="331"/>
      <c r="C44" s="332"/>
      <c r="D44" s="352" t="s">
        <v>20</v>
      </c>
      <c r="E44" s="353"/>
      <c r="F44" s="353"/>
      <c r="G44" s="353"/>
      <c r="H44" s="353"/>
      <c r="I44" s="353"/>
      <c r="J44" s="354"/>
      <c r="K44" s="48"/>
      <c r="L44" s="48"/>
      <c r="M44" s="48"/>
      <c r="N44" s="48"/>
      <c r="O44" s="48"/>
      <c r="P44" s="48"/>
      <c r="Q44" s="48"/>
      <c r="R44" s="48"/>
      <c r="S44" s="48"/>
      <c r="T44" s="48"/>
      <c r="U44" s="48"/>
      <c r="V44" s="48"/>
      <c r="W44" s="355">
        <f>Z20+Z28+Z38</f>
        <v>0</v>
      </c>
      <c r="X44" s="355"/>
      <c r="Y44" s="355"/>
      <c r="Z44" s="49" t="s">
        <v>21</v>
      </c>
      <c r="AA44" s="50"/>
    </row>
    <row r="45" spans="2:32" s="37" customFormat="1" ht="21.95" customHeight="1"/>
    <row r="46" spans="2:32" s="37" customFormat="1" ht="21.95" customHeight="1"/>
    <row r="47" spans="2:32" s="37" customFormat="1" ht="21.95" customHeight="1"/>
    <row r="48" spans="2:32" s="37" customFormat="1" ht="21.95" customHeight="1"/>
    <row r="49" s="37" customFormat="1" ht="21.95" customHeight="1"/>
    <row r="50" s="37" customFormat="1" ht="21.95" customHeight="1"/>
    <row r="51" s="37" customFormat="1" ht="21.95" customHeight="1"/>
    <row r="52" s="37" customFormat="1" ht="21.95" customHeight="1"/>
    <row r="53" s="37" customFormat="1" ht="21.95" customHeight="1"/>
    <row r="54" s="37" customFormat="1" ht="21.95" customHeight="1"/>
    <row r="55" s="37" customFormat="1" ht="21.95" customHeight="1"/>
    <row r="56" s="37" customFormat="1" ht="21.95" customHeight="1"/>
    <row r="57" s="37" customFormat="1" ht="21.95" customHeight="1"/>
    <row r="58" s="37" customFormat="1" ht="21.95" customHeight="1"/>
    <row r="59" s="37" customFormat="1" ht="21.95" customHeight="1"/>
    <row r="60" s="37" customFormat="1" ht="21.95" customHeight="1"/>
    <row r="61" s="37" customFormat="1" ht="24.95" customHeight="1"/>
    <row r="62" s="37" customFormat="1" ht="24.95" customHeight="1"/>
    <row r="63" s="37" customFormat="1" ht="24.95" customHeight="1"/>
    <row r="64" s="37" customFormat="1" ht="24.95" customHeight="1"/>
    <row r="65" s="37" customFormat="1" ht="24.95" customHeight="1"/>
    <row r="66" s="37" customFormat="1" ht="24.95" customHeight="1"/>
    <row r="67" s="37" customFormat="1" ht="24.95" customHeight="1"/>
    <row r="68" s="37" customFormat="1" ht="24.95" customHeight="1"/>
    <row r="69" s="37" customFormat="1" ht="24.95" customHeight="1"/>
    <row r="70" s="37" customFormat="1" ht="24.95" customHeight="1"/>
    <row r="71" s="37" customFormat="1" ht="24.95" customHeight="1"/>
    <row r="72" s="37" customFormat="1" ht="24.95" customHeight="1"/>
    <row r="73" s="37" customFormat="1" ht="24.95" customHeight="1"/>
    <row r="74" s="37" customFormat="1" ht="24.95" customHeight="1"/>
    <row r="75" s="37" customFormat="1" ht="24.95" customHeight="1"/>
    <row r="76" s="37" customFormat="1" ht="24.95" customHeight="1"/>
    <row r="77" s="37" customFormat="1" ht="24.95" customHeight="1"/>
    <row r="78" s="37" customFormat="1" ht="24.95" customHeight="1"/>
    <row r="79" s="37" customFormat="1" ht="24.95" customHeight="1"/>
    <row r="80" s="37" customFormat="1" ht="24.95" customHeight="1"/>
    <row r="81" s="37" customFormat="1" ht="24.95" customHeight="1"/>
    <row r="82" s="37" customFormat="1" ht="24.95" customHeight="1"/>
    <row r="83" s="37" customFormat="1" ht="24.95" customHeight="1"/>
    <row r="84" s="37" customFormat="1" ht="24.95" customHeight="1"/>
    <row r="85" s="37" customFormat="1" ht="24.95" customHeight="1"/>
    <row r="86" s="37" customFormat="1" ht="24.95" customHeight="1"/>
    <row r="87" s="37" customFormat="1" ht="24.95" customHeight="1"/>
    <row r="88" s="37" customFormat="1" ht="24.95" customHeight="1"/>
    <row r="89" s="37" customFormat="1" ht="24.95" customHeight="1"/>
    <row r="90" s="37" customFormat="1" ht="24.95" customHeight="1"/>
    <row r="91" s="37" customFormat="1" ht="24.95" customHeight="1"/>
    <row r="92" s="37" customFormat="1" ht="24.95" customHeight="1"/>
    <row r="93" s="37" customFormat="1" ht="24.95" customHeight="1"/>
    <row r="94" s="51" customFormat="1" ht="24.95" customHeight="1"/>
    <row r="95" s="51" customFormat="1"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sheetData>
  <sheetProtection algorithmName="SHA-512" hashValue="aPwsunfgSyv0x+JA2uE9nzPYvmUSF/a+Du97/sf4xDEBI0zowfAzSZ7UcqRMZUtkT57sFnBu1FrnJx4PDbkfjw==" saltValue="TDZh2QL4Jiyjlt5iPHAd/g==" spinCount="100000" sheet="1" objects="1" scenarios="1" selectLockedCells="1"/>
  <mergeCells count="293">
    <mergeCell ref="Z12:AA12"/>
    <mergeCell ref="Z13:AA13"/>
    <mergeCell ref="Z26:AA26"/>
    <mergeCell ref="X26:Y26"/>
    <mergeCell ref="V26:W26"/>
    <mergeCell ref="Z18:AA18"/>
    <mergeCell ref="X18:Y18"/>
    <mergeCell ref="V16:W16"/>
    <mergeCell ref="X16:Y16"/>
    <mergeCell ref="Z16:AA16"/>
    <mergeCell ref="X19:Y19"/>
    <mergeCell ref="Z19:AA19"/>
    <mergeCell ref="V25:W25"/>
    <mergeCell ref="X25:Y25"/>
    <mergeCell ref="Z25:AA25"/>
    <mergeCell ref="V17:W17"/>
    <mergeCell ref="X17:Y17"/>
    <mergeCell ref="Z17:AA17"/>
    <mergeCell ref="X12:Y12"/>
    <mergeCell ref="X13:Y13"/>
    <mergeCell ref="Z14:AA14"/>
    <mergeCell ref="N12:O12"/>
    <mergeCell ref="N13:O13"/>
    <mergeCell ref="T34:U34"/>
    <mergeCell ref="T35:U35"/>
    <mergeCell ref="L12:M12"/>
    <mergeCell ref="L13:M13"/>
    <mergeCell ref="T26:U26"/>
    <mergeCell ref="R26:S26"/>
    <mergeCell ref="P26:Q26"/>
    <mergeCell ref="N26:O26"/>
    <mergeCell ref="J26:M26"/>
    <mergeCell ref="J34:K34"/>
    <mergeCell ref="J35:K35"/>
    <mergeCell ref="L34:M34"/>
    <mergeCell ref="J27:M27"/>
    <mergeCell ref="N25:O25"/>
    <mergeCell ref="T17:U17"/>
    <mergeCell ref="N17:O17"/>
    <mergeCell ref="P17:Q17"/>
    <mergeCell ref="T13:U13"/>
    <mergeCell ref="P25:Q25"/>
    <mergeCell ref="R25:S25"/>
    <mergeCell ref="T25:U25"/>
    <mergeCell ref="J23:M24"/>
    <mergeCell ref="J25:M25"/>
    <mergeCell ref="L36:M36"/>
    <mergeCell ref="N36:O36"/>
    <mergeCell ref="P36:Q36"/>
    <mergeCell ref="J36:K36"/>
    <mergeCell ref="J33:K33"/>
    <mergeCell ref="J31:K32"/>
    <mergeCell ref="J28:U28"/>
    <mergeCell ref="N27:O27"/>
    <mergeCell ref="P27:Q27"/>
    <mergeCell ref="R27:S27"/>
    <mergeCell ref="T27:U27"/>
    <mergeCell ref="L33:M33"/>
    <mergeCell ref="N33:O33"/>
    <mergeCell ref="P33:Q33"/>
    <mergeCell ref="R33:S33"/>
    <mergeCell ref="T33:U33"/>
    <mergeCell ref="L35:M35"/>
    <mergeCell ref="N34:O34"/>
    <mergeCell ref="N35:O35"/>
    <mergeCell ref="P34:Q34"/>
    <mergeCell ref="P35:Q35"/>
    <mergeCell ref="B2:AA2"/>
    <mergeCell ref="R4:U4"/>
    <mergeCell ref="V4:W4"/>
    <mergeCell ref="X4:Y4"/>
    <mergeCell ref="B5:C7"/>
    <mergeCell ref="D5:G5"/>
    <mergeCell ref="H5:I7"/>
    <mergeCell ref="J5:K7"/>
    <mergeCell ref="L5:M7"/>
    <mergeCell ref="N5:U5"/>
    <mergeCell ref="D6:E7"/>
    <mergeCell ref="F6:G7"/>
    <mergeCell ref="N6:O7"/>
    <mergeCell ref="P6:U6"/>
    <mergeCell ref="T8:U8"/>
    <mergeCell ref="V8:W8"/>
    <mergeCell ref="J10:K10"/>
    <mergeCell ref="L10:M10"/>
    <mergeCell ref="N10:O10"/>
    <mergeCell ref="P10:Q10"/>
    <mergeCell ref="R10:S10"/>
    <mergeCell ref="X8:Y8"/>
    <mergeCell ref="AD6:AE6"/>
    <mergeCell ref="Z8:AA8"/>
    <mergeCell ref="T9:U9"/>
    <mergeCell ref="V9:W9"/>
    <mergeCell ref="X9:Y9"/>
    <mergeCell ref="Z9:AA9"/>
    <mergeCell ref="N8:O8"/>
    <mergeCell ref="P8:Q8"/>
    <mergeCell ref="T10:U10"/>
    <mergeCell ref="J8:K8"/>
    <mergeCell ref="L8:M8"/>
    <mergeCell ref="R8:S8"/>
    <mergeCell ref="AH6:AI6"/>
    <mergeCell ref="AK6:AL6"/>
    <mergeCell ref="AN6:AO6"/>
    <mergeCell ref="P7:Q7"/>
    <mergeCell ref="R7:S7"/>
    <mergeCell ref="T7:U7"/>
    <mergeCell ref="V5:W7"/>
    <mergeCell ref="X5:Y7"/>
    <mergeCell ref="Z5:AA7"/>
    <mergeCell ref="B9:C9"/>
    <mergeCell ref="D9:E9"/>
    <mergeCell ref="F9:G9"/>
    <mergeCell ref="H9:I9"/>
    <mergeCell ref="J9:K9"/>
    <mergeCell ref="L9:M9"/>
    <mergeCell ref="N9:O9"/>
    <mergeCell ref="P9:Q9"/>
    <mergeCell ref="R9:S9"/>
    <mergeCell ref="B8:C8"/>
    <mergeCell ref="D8:E8"/>
    <mergeCell ref="F8:G8"/>
    <mergeCell ref="H8:I8"/>
    <mergeCell ref="R14:S14"/>
    <mergeCell ref="V10:W10"/>
    <mergeCell ref="X10:Y10"/>
    <mergeCell ref="Z10:AA10"/>
    <mergeCell ref="B11:C11"/>
    <mergeCell ref="D11:E11"/>
    <mergeCell ref="F11:G11"/>
    <mergeCell ref="H11:I11"/>
    <mergeCell ref="J11:K11"/>
    <mergeCell ref="L11:M11"/>
    <mergeCell ref="N11:O11"/>
    <mergeCell ref="P11:Q11"/>
    <mergeCell ref="R11:S11"/>
    <mergeCell ref="T11:U11"/>
    <mergeCell ref="V11:W11"/>
    <mergeCell ref="X11:Y11"/>
    <mergeCell ref="Z11:AA11"/>
    <mergeCell ref="B10:C10"/>
    <mergeCell ref="D10:E10"/>
    <mergeCell ref="F10:G10"/>
    <mergeCell ref="T15:U15"/>
    <mergeCell ref="V15:W15"/>
    <mergeCell ref="X15:Y15"/>
    <mergeCell ref="Z15:AA15"/>
    <mergeCell ref="B14:C14"/>
    <mergeCell ref="D14:E14"/>
    <mergeCell ref="F14:G14"/>
    <mergeCell ref="H14:I14"/>
    <mergeCell ref="T14:U14"/>
    <mergeCell ref="J14:K14"/>
    <mergeCell ref="L14:M14"/>
    <mergeCell ref="N14:O14"/>
    <mergeCell ref="P14:Q14"/>
    <mergeCell ref="B15:C15"/>
    <mergeCell ref="D15:E15"/>
    <mergeCell ref="F15:G15"/>
    <mergeCell ref="H15:I15"/>
    <mergeCell ref="J15:K15"/>
    <mergeCell ref="L15:M15"/>
    <mergeCell ref="N15:O15"/>
    <mergeCell ref="P15:Q15"/>
    <mergeCell ref="R15:S15"/>
    <mergeCell ref="H17:I17"/>
    <mergeCell ref="J17:K17"/>
    <mergeCell ref="L17:M17"/>
    <mergeCell ref="H10:I10"/>
    <mergeCell ref="B12:C12"/>
    <mergeCell ref="B13:C13"/>
    <mergeCell ref="D12:E12"/>
    <mergeCell ref="V14:W14"/>
    <mergeCell ref="X14:Y14"/>
    <mergeCell ref="T16:U16"/>
    <mergeCell ref="D13:E13"/>
    <mergeCell ref="F12:G12"/>
    <mergeCell ref="F13:G13"/>
    <mergeCell ref="H12:I12"/>
    <mergeCell ref="H13:I13"/>
    <mergeCell ref="J12:K12"/>
    <mergeCell ref="J13:K13"/>
    <mergeCell ref="V12:W12"/>
    <mergeCell ref="V13:W13"/>
    <mergeCell ref="P12:Q12"/>
    <mergeCell ref="P13:Q13"/>
    <mergeCell ref="R12:S12"/>
    <mergeCell ref="R13:S13"/>
    <mergeCell ref="T12:U12"/>
    <mergeCell ref="R17:S17"/>
    <mergeCell ref="N16:O16"/>
    <mergeCell ref="P16:Q16"/>
    <mergeCell ref="R16:S16"/>
    <mergeCell ref="R18:S18"/>
    <mergeCell ref="T18:U18"/>
    <mergeCell ref="V18:W18"/>
    <mergeCell ref="B18:C18"/>
    <mergeCell ref="D18:E18"/>
    <mergeCell ref="F18:G18"/>
    <mergeCell ref="H18:I18"/>
    <mergeCell ref="J18:K18"/>
    <mergeCell ref="L18:M18"/>
    <mergeCell ref="N18:O18"/>
    <mergeCell ref="P18:Q18"/>
    <mergeCell ref="B16:C16"/>
    <mergeCell ref="D16:E16"/>
    <mergeCell ref="F16:G16"/>
    <mergeCell ref="H16:I16"/>
    <mergeCell ref="J16:K16"/>
    <mergeCell ref="L16:M16"/>
    <mergeCell ref="B17:C17"/>
    <mergeCell ref="D17:E17"/>
    <mergeCell ref="F17:G17"/>
    <mergeCell ref="B20:U20"/>
    <mergeCell ref="V20:W20"/>
    <mergeCell ref="X20:Y20"/>
    <mergeCell ref="Z20:AA20"/>
    <mergeCell ref="L19:M19"/>
    <mergeCell ref="N19:O19"/>
    <mergeCell ref="P19:Q19"/>
    <mergeCell ref="R19:S19"/>
    <mergeCell ref="B19:C19"/>
    <mergeCell ref="D19:E19"/>
    <mergeCell ref="F19:G19"/>
    <mergeCell ref="H19:I19"/>
    <mergeCell ref="J19:K19"/>
    <mergeCell ref="T19:U19"/>
    <mergeCell ref="V19:W19"/>
    <mergeCell ref="AN21:AO21"/>
    <mergeCell ref="N23:Q23"/>
    <mergeCell ref="R23:S24"/>
    <mergeCell ref="T23:U24"/>
    <mergeCell ref="V23:W24"/>
    <mergeCell ref="X23:Y24"/>
    <mergeCell ref="Z23:AA24"/>
    <mergeCell ref="AN23:AO23"/>
    <mergeCell ref="N24:O24"/>
    <mergeCell ref="P24:Q24"/>
    <mergeCell ref="V27:W27"/>
    <mergeCell ref="X27:Y27"/>
    <mergeCell ref="Z27:AA27"/>
    <mergeCell ref="V28:W28"/>
    <mergeCell ref="X28:Y28"/>
    <mergeCell ref="Z28:AA28"/>
    <mergeCell ref="L31:M32"/>
    <mergeCell ref="N31:O32"/>
    <mergeCell ref="P31:Q32"/>
    <mergeCell ref="R31:S32"/>
    <mergeCell ref="T31:U32"/>
    <mergeCell ref="X36:Y36"/>
    <mergeCell ref="Z36:AA36"/>
    <mergeCell ref="V31:W32"/>
    <mergeCell ref="X31:Y32"/>
    <mergeCell ref="Z31:AA32"/>
    <mergeCell ref="X33:Y33"/>
    <mergeCell ref="R37:S37"/>
    <mergeCell ref="T37:U37"/>
    <mergeCell ref="V37:W37"/>
    <mergeCell ref="Z33:AA33"/>
    <mergeCell ref="R36:S36"/>
    <mergeCell ref="T36:U36"/>
    <mergeCell ref="V36:W36"/>
    <mergeCell ref="X37:Y37"/>
    <mergeCell ref="Z37:AA37"/>
    <mergeCell ref="X34:Y34"/>
    <mergeCell ref="X35:Y35"/>
    <mergeCell ref="Z34:AA34"/>
    <mergeCell ref="Z35:AA35"/>
    <mergeCell ref="R35:S35"/>
    <mergeCell ref="V34:W34"/>
    <mergeCell ref="V35:W35"/>
    <mergeCell ref="V33:W33"/>
    <mergeCell ref="R34:S34"/>
    <mergeCell ref="V38:W38"/>
    <mergeCell ref="X38:Y38"/>
    <mergeCell ref="Z38:AA38"/>
    <mergeCell ref="L37:M37"/>
    <mergeCell ref="N37:O37"/>
    <mergeCell ref="P37:Q37"/>
    <mergeCell ref="J37:K37"/>
    <mergeCell ref="D44:J44"/>
    <mergeCell ref="W44:Y44"/>
    <mergeCell ref="J38:U38"/>
    <mergeCell ref="B41:C44"/>
    <mergeCell ref="D41:J41"/>
    <mergeCell ref="L41:N41"/>
    <mergeCell ref="Q41:R41"/>
    <mergeCell ref="U41:V41"/>
    <mergeCell ref="Y41:Z41"/>
    <mergeCell ref="D42:J42"/>
    <mergeCell ref="W42:Y42"/>
    <mergeCell ref="D43:J43"/>
    <mergeCell ref="W43:Y43"/>
  </mergeCells>
  <phoneticPr fontId="2"/>
  <conditionalFormatting sqref="V20:W20">
    <cfRule type="expression" dxfId="44" priority="53" stopIfTrue="1">
      <formula>$V$20=0</formula>
    </cfRule>
  </conditionalFormatting>
  <conditionalFormatting sqref="X20:Y20">
    <cfRule type="expression" dxfId="43" priority="52" stopIfTrue="1">
      <formula>$X$20=0</formula>
    </cfRule>
  </conditionalFormatting>
  <conditionalFormatting sqref="Z20:AA20">
    <cfRule type="expression" dxfId="42" priority="51" stopIfTrue="1">
      <formula>$Z$20=0</formula>
    </cfRule>
  </conditionalFormatting>
  <conditionalFormatting sqref="V28:W28">
    <cfRule type="expression" dxfId="41" priority="50" stopIfTrue="1">
      <formula>$V$28:$W$28=0</formula>
    </cfRule>
  </conditionalFormatting>
  <conditionalFormatting sqref="V38:W38">
    <cfRule type="expression" dxfId="40" priority="49" stopIfTrue="1">
      <formula>$V$38:$W$38=0</formula>
    </cfRule>
  </conditionalFormatting>
  <conditionalFormatting sqref="Y41:Z41">
    <cfRule type="expression" dxfId="39" priority="48" stopIfTrue="1">
      <formula>$Y$41=0</formula>
    </cfRule>
  </conditionalFormatting>
  <conditionalFormatting sqref="Q41:R41">
    <cfRule type="expression" dxfId="38" priority="47" stopIfTrue="1">
      <formula>$Q$41=0</formula>
    </cfRule>
  </conditionalFormatting>
  <conditionalFormatting sqref="U41:V41">
    <cfRule type="expression" dxfId="37" priority="46" stopIfTrue="1">
      <formula>$U$41=0</formula>
    </cfRule>
  </conditionalFormatting>
  <conditionalFormatting sqref="L41:N41">
    <cfRule type="expression" dxfId="36" priority="45" stopIfTrue="1">
      <formula>$L$41=0</formula>
    </cfRule>
  </conditionalFormatting>
  <conditionalFormatting sqref="X8:Y8">
    <cfRule type="expression" dxfId="35" priority="43" stopIfTrue="1">
      <formula>#VALUE!</formula>
    </cfRule>
    <cfRule type="expression" dxfId="34" priority="44" stopIfTrue="1">
      <formula>#VALUE!</formula>
    </cfRule>
  </conditionalFormatting>
  <conditionalFormatting sqref="X19:Y19">
    <cfRule type="expression" dxfId="33" priority="42" stopIfTrue="1">
      <formula>#VALUE!</formula>
    </cfRule>
  </conditionalFormatting>
  <conditionalFormatting sqref="X8:Y8">
    <cfRule type="expression" dxfId="32" priority="30" stopIfTrue="1">
      <formula>#VALUE!</formula>
    </cfRule>
    <cfRule type="expression" dxfId="31" priority="31" stopIfTrue="1">
      <formula>#VALUE!</formula>
    </cfRule>
  </conditionalFormatting>
  <conditionalFormatting sqref="X19:Y19">
    <cfRule type="expression" dxfId="30" priority="29" stopIfTrue="1">
      <formula>#VALUE!</formula>
    </cfRule>
  </conditionalFormatting>
  <conditionalFormatting sqref="X28:Y28">
    <cfRule type="expression" dxfId="29" priority="28" stopIfTrue="1">
      <formula>$X$28:$Y$28=0</formula>
    </cfRule>
  </conditionalFormatting>
  <conditionalFormatting sqref="Z28:AA28">
    <cfRule type="expression" dxfId="28" priority="27" stopIfTrue="1">
      <formula>$Z$28:$AA$28=0</formula>
    </cfRule>
  </conditionalFormatting>
  <conditionalFormatting sqref="X38:Y38">
    <cfRule type="expression" dxfId="27" priority="26" stopIfTrue="1">
      <formula>$X$38:$Y$38=0</formula>
    </cfRule>
  </conditionalFormatting>
  <conditionalFormatting sqref="Z38:AA38">
    <cfRule type="expression" dxfId="26" priority="25" stopIfTrue="1">
      <formula>$Z$38:$AA$38=0</formula>
    </cfRule>
  </conditionalFormatting>
  <conditionalFormatting sqref="P8:U8">
    <cfRule type="expression" dxfId="25" priority="14" stopIfTrue="1">
      <formula>$AG$8=TRUE</formula>
    </cfRule>
  </conditionalFormatting>
  <conditionalFormatting sqref="P15:U15">
    <cfRule type="expression" dxfId="24" priority="13" stopIfTrue="1">
      <formula>$AG$15=TRUE</formula>
    </cfRule>
  </conditionalFormatting>
  <conditionalFormatting sqref="P16:U16">
    <cfRule type="expression" dxfId="23" priority="12" stopIfTrue="1">
      <formula>$AG$16=TRUE</formula>
    </cfRule>
  </conditionalFormatting>
  <conditionalFormatting sqref="P17:U17">
    <cfRule type="expression" dxfId="22" priority="11" stopIfTrue="1">
      <formula>$AG$17=TRUE</formula>
    </cfRule>
  </conditionalFormatting>
  <conditionalFormatting sqref="P18:U18">
    <cfRule type="expression" dxfId="21" priority="10" stopIfTrue="1">
      <formula>$AG$18=TRUE</formula>
    </cfRule>
  </conditionalFormatting>
  <conditionalFormatting sqref="P19:U19">
    <cfRule type="expression" dxfId="20" priority="9" stopIfTrue="1">
      <formula>$AG$19=TRUE</formula>
    </cfRule>
  </conditionalFormatting>
  <conditionalFormatting sqref="P10:U10">
    <cfRule type="expression" dxfId="19" priority="8" stopIfTrue="1">
      <formula>$AG$10=TRUE</formula>
    </cfRule>
  </conditionalFormatting>
  <conditionalFormatting sqref="P11:U11">
    <cfRule type="expression" dxfId="18" priority="7" stopIfTrue="1">
      <formula>$AG$11=TRUE</formula>
    </cfRule>
  </conditionalFormatting>
  <conditionalFormatting sqref="P14:U14">
    <cfRule type="expression" dxfId="17" priority="6" stopIfTrue="1">
      <formula>$AG$14=TRUE</formula>
    </cfRule>
  </conditionalFormatting>
  <conditionalFormatting sqref="P9:U9">
    <cfRule type="expression" dxfId="16" priority="5" stopIfTrue="1">
      <formula>$AG$9=TRUE</formula>
    </cfRule>
  </conditionalFormatting>
  <conditionalFormatting sqref="P12:U12">
    <cfRule type="expression" dxfId="15" priority="2">
      <formula>$AG$12=TRUE</formula>
    </cfRule>
  </conditionalFormatting>
  <conditionalFormatting sqref="P13:U13">
    <cfRule type="expression" dxfId="14" priority="1">
      <formula>$AG$13=TRUE</formula>
    </cfRule>
  </conditionalFormatting>
  <dataValidations count="1">
    <dataValidation type="list" allowBlank="1" showInputMessage="1" showErrorMessage="1" sqref="M14:M19 L8:L19 M8:M11 T25:T27 U25 U27">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88" orientation="portrait" horizontalDpi="300" verticalDpi="300" r:id="rId1"/>
  <headerFooter>
    <oddHeader>&amp;Rver. 1.7[H28]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449" r:id="rId4" name="Check Box 1">
              <controlPr defaultSize="0" autoFill="0" autoLine="0" autoPict="0">
                <anchor moveWithCells="1">
                  <from>
                    <xdr:col>13</xdr:col>
                    <xdr:colOff>190500</xdr:colOff>
                    <xdr:row>7</xdr:row>
                    <xdr:rowOff>47625</xdr:rowOff>
                  </from>
                  <to>
                    <xdr:col>14</xdr:col>
                    <xdr:colOff>200025</xdr:colOff>
                    <xdr:row>7</xdr:row>
                    <xdr:rowOff>257175</xdr:rowOff>
                  </to>
                </anchor>
              </controlPr>
            </control>
          </mc:Choice>
        </mc:AlternateContent>
        <mc:AlternateContent xmlns:mc="http://schemas.openxmlformats.org/markup-compatibility/2006">
          <mc:Choice Requires="x14">
            <control shapeId="104450" r:id="rId5" name="Check Box 2">
              <controlPr defaultSize="0" autoFill="0" autoLine="0" autoPict="0">
                <anchor moveWithCells="1">
                  <from>
                    <xdr:col>13</xdr:col>
                    <xdr:colOff>190500</xdr:colOff>
                    <xdr:row>8</xdr:row>
                    <xdr:rowOff>47625</xdr:rowOff>
                  </from>
                  <to>
                    <xdr:col>14</xdr:col>
                    <xdr:colOff>200025</xdr:colOff>
                    <xdr:row>8</xdr:row>
                    <xdr:rowOff>257175</xdr:rowOff>
                  </to>
                </anchor>
              </controlPr>
            </control>
          </mc:Choice>
        </mc:AlternateContent>
        <mc:AlternateContent xmlns:mc="http://schemas.openxmlformats.org/markup-compatibility/2006">
          <mc:Choice Requires="x14">
            <control shapeId="104451" r:id="rId6" name="Check Box 3">
              <controlPr defaultSize="0" autoFill="0" autoLine="0" autoPict="0">
                <anchor moveWithCells="1">
                  <from>
                    <xdr:col>13</xdr:col>
                    <xdr:colOff>190500</xdr:colOff>
                    <xdr:row>14</xdr:row>
                    <xdr:rowOff>47625</xdr:rowOff>
                  </from>
                  <to>
                    <xdr:col>14</xdr:col>
                    <xdr:colOff>200025</xdr:colOff>
                    <xdr:row>14</xdr:row>
                    <xdr:rowOff>257175</xdr:rowOff>
                  </to>
                </anchor>
              </controlPr>
            </control>
          </mc:Choice>
        </mc:AlternateContent>
        <mc:AlternateContent xmlns:mc="http://schemas.openxmlformats.org/markup-compatibility/2006">
          <mc:Choice Requires="x14">
            <control shapeId="104452" r:id="rId7" name="Check Box 4">
              <controlPr defaultSize="0" autoFill="0" autoLine="0" autoPict="0">
                <anchor moveWithCells="1">
                  <from>
                    <xdr:col>13</xdr:col>
                    <xdr:colOff>190500</xdr:colOff>
                    <xdr:row>15</xdr:row>
                    <xdr:rowOff>47625</xdr:rowOff>
                  </from>
                  <to>
                    <xdr:col>14</xdr:col>
                    <xdr:colOff>200025</xdr:colOff>
                    <xdr:row>15</xdr:row>
                    <xdr:rowOff>257175</xdr:rowOff>
                  </to>
                </anchor>
              </controlPr>
            </control>
          </mc:Choice>
        </mc:AlternateContent>
        <mc:AlternateContent xmlns:mc="http://schemas.openxmlformats.org/markup-compatibility/2006">
          <mc:Choice Requires="x14">
            <control shapeId="104453" r:id="rId8" name="Check Box 5">
              <controlPr defaultSize="0" autoFill="0" autoLine="0" autoPict="0">
                <anchor moveWithCells="1">
                  <from>
                    <xdr:col>13</xdr:col>
                    <xdr:colOff>190500</xdr:colOff>
                    <xdr:row>16</xdr:row>
                    <xdr:rowOff>47625</xdr:rowOff>
                  </from>
                  <to>
                    <xdr:col>14</xdr:col>
                    <xdr:colOff>200025</xdr:colOff>
                    <xdr:row>16</xdr:row>
                    <xdr:rowOff>257175</xdr:rowOff>
                  </to>
                </anchor>
              </controlPr>
            </control>
          </mc:Choice>
        </mc:AlternateContent>
        <mc:AlternateContent xmlns:mc="http://schemas.openxmlformats.org/markup-compatibility/2006">
          <mc:Choice Requires="x14">
            <control shapeId="104454" r:id="rId9" name="Check Box 6">
              <controlPr defaultSize="0" autoFill="0" autoLine="0" autoPict="0">
                <anchor moveWithCells="1">
                  <from>
                    <xdr:col>13</xdr:col>
                    <xdr:colOff>190500</xdr:colOff>
                    <xdr:row>17</xdr:row>
                    <xdr:rowOff>47625</xdr:rowOff>
                  </from>
                  <to>
                    <xdr:col>14</xdr:col>
                    <xdr:colOff>200025</xdr:colOff>
                    <xdr:row>17</xdr:row>
                    <xdr:rowOff>257175</xdr:rowOff>
                  </to>
                </anchor>
              </controlPr>
            </control>
          </mc:Choice>
        </mc:AlternateContent>
        <mc:AlternateContent xmlns:mc="http://schemas.openxmlformats.org/markup-compatibility/2006">
          <mc:Choice Requires="x14">
            <control shapeId="104455" r:id="rId10" name="Check Box 7">
              <controlPr defaultSize="0" autoFill="0" autoLine="0" autoPict="0">
                <anchor moveWithCells="1">
                  <from>
                    <xdr:col>13</xdr:col>
                    <xdr:colOff>190500</xdr:colOff>
                    <xdr:row>18</xdr:row>
                    <xdr:rowOff>47625</xdr:rowOff>
                  </from>
                  <to>
                    <xdr:col>14</xdr:col>
                    <xdr:colOff>200025</xdr:colOff>
                    <xdr:row>18</xdr:row>
                    <xdr:rowOff>257175</xdr:rowOff>
                  </to>
                </anchor>
              </controlPr>
            </control>
          </mc:Choice>
        </mc:AlternateContent>
        <mc:AlternateContent xmlns:mc="http://schemas.openxmlformats.org/markup-compatibility/2006">
          <mc:Choice Requires="x14">
            <control shapeId="104456" r:id="rId11" name="Check Box 8">
              <controlPr defaultSize="0" autoFill="0" autoLine="0" autoPict="0">
                <anchor moveWithCells="1">
                  <from>
                    <xdr:col>13</xdr:col>
                    <xdr:colOff>190500</xdr:colOff>
                    <xdr:row>9</xdr:row>
                    <xdr:rowOff>47625</xdr:rowOff>
                  </from>
                  <to>
                    <xdr:col>14</xdr:col>
                    <xdr:colOff>200025</xdr:colOff>
                    <xdr:row>9</xdr:row>
                    <xdr:rowOff>257175</xdr:rowOff>
                  </to>
                </anchor>
              </controlPr>
            </control>
          </mc:Choice>
        </mc:AlternateContent>
        <mc:AlternateContent xmlns:mc="http://schemas.openxmlformats.org/markup-compatibility/2006">
          <mc:Choice Requires="x14">
            <control shapeId="104457" r:id="rId12" name="Check Box 9">
              <controlPr defaultSize="0" autoFill="0" autoLine="0" autoPict="0">
                <anchor moveWithCells="1">
                  <from>
                    <xdr:col>13</xdr:col>
                    <xdr:colOff>190500</xdr:colOff>
                    <xdr:row>10</xdr:row>
                    <xdr:rowOff>47625</xdr:rowOff>
                  </from>
                  <to>
                    <xdr:col>14</xdr:col>
                    <xdr:colOff>200025</xdr:colOff>
                    <xdr:row>10</xdr:row>
                    <xdr:rowOff>257175</xdr:rowOff>
                  </to>
                </anchor>
              </controlPr>
            </control>
          </mc:Choice>
        </mc:AlternateContent>
        <mc:AlternateContent xmlns:mc="http://schemas.openxmlformats.org/markup-compatibility/2006">
          <mc:Choice Requires="x14">
            <control shapeId="104458" r:id="rId13" name="Check Box 10">
              <controlPr defaultSize="0" autoFill="0" autoLine="0" autoPict="0">
                <anchor moveWithCells="1">
                  <from>
                    <xdr:col>13</xdr:col>
                    <xdr:colOff>190500</xdr:colOff>
                    <xdr:row>13</xdr:row>
                    <xdr:rowOff>47625</xdr:rowOff>
                  </from>
                  <to>
                    <xdr:col>14</xdr:col>
                    <xdr:colOff>200025</xdr:colOff>
                    <xdr:row>13</xdr:row>
                    <xdr:rowOff>257175</xdr:rowOff>
                  </to>
                </anchor>
              </controlPr>
            </control>
          </mc:Choice>
        </mc:AlternateContent>
        <mc:AlternateContent xmlns:mc="http://schemas.openxmlformats.org/markup-compatibility/2006">
          <mc:Choice Requires="x14">
            <control shapeId="104470" r:id="rId14" name="Check Box 22">
              <controlPr defaultSize="0" autoFill="0" autoLine="0" autoPict="0">
                <anchor moveWithCells="1">
                  <from>
                    <xdr:col>19</xdr:col>
                    <xdr:colOff>190500</xdr:colOff>
                    <xdr:row>32</xdr:row>
                    <xdr:rowOff>47625</xdr:rowOff>
                  </from>
                  <to>
                    <xdr:col>20</xdr:col>
                    <xdr:colOff>200025</xdr:colOff>
                    <xdr:row>32</xdr:row>
                    <xdr:rowOff>257175</xdr:rowOff>
                  </to>
                </anchor>
              </controlPr>
            </control>
          </mc:Choice>
        </mc:AlternateContent>
        <mc:AlternateContent xmlns:mc="http://schemas.openxmlformats.org/markup-compatibility/2006">
          <mc:Choice Requires="x14">
            <control shapeId="104471" r:id="rId15" name="Check Box 23">
              <controlPr defaultSize="0" autoFill="0" autoLine="0" autoPict="0">
                <anchor moveWithCells="1">
                  <from>
                    <xdr:col>19</xdr:col>
                    <xdr:colOff>190500</xdr:colOff>
                    <xdr:row>35</xdr:row>
                    <xdr:rowOff>47625</xdr:rowOff>
                  </from>
                  <to>
                    <xdr:col>20</xdr:col>
                    <xdr:colOff>200025</xdr:colOff>
                    <xdr:row>35</xdr:row>
                    <xdr:rowOff>257175</xdr:rowOff>
                  </to>
                </anchor>
              </controlPr>
            </control>
          </mc:Choice>
        </mc:AlternateContent>
        <mc:AlternateContent xmlns:mc="http://schemas.openxmlformats.org/markup-compatibility/2006">
          <mc:Choice Requires="x14">
            <control shapeId="104472" r:id="rId16" name="Check Box 24">
              <controlPr defaultSize="0" autoFill="0" autoLine="0" autoPict="0">
                <anchor moveWithCells="1">
                  <from>
                    <xdr:col>19</xdr:col>
                    <xdr:colOff>190500</xdr:colOff>
                    <xdr:row>36</xdr:row>
                    <xdr:rowOff>47625</xdr:rowOff>
                  </from>
                  <to>
                    <xdr:col>20</xdr:col>
                    <xdr:colOff>200025</xdr:colOff>
                    <xdr:row>36</xdr:row>
                    <xdr:rowOff>257175</xdr:rowOff>
                  </to>
                </anchor>
              </controlPr>
            </control>
          </mc:Choice>
        </mc:AlternateContent>
        <mc:AlternateContent xmlns:mc="http://schemas.openxmlformats.org/markup-compatibility/2006">
          <mc:Choice Requires="x14">
            <control shapeId="104481" r:id="rId17" name="Check Box 33">
              <controlPr defaultSize="0" autoFill="0" autoLine="0" autoPict="0">
                <anchor moveWithCells="1">
                  <from>
                    <xdr:col>13</xdr:col>
                    <xdr:colOff>190500</xdr:colOff>
                    <xdr:row>11</xdr:row>
                    <xdr:rowOff>47625</xdr:rowOff>
                  </from>
                  <to>
                    <xdr:col>14</xdr:col>
                    <xdr:colOff>200025</xdr:colOff>
                    <xdr:row>11</xdr:row>
                    <xdr:rowOff>257175</xdr:rowOff>
                  </to>
                </anchor>
              </controlPr>
            </control>
          </mc:Choice>
        </mc:AlternateContent>
        <mc:AlternateContent xmlns:mc="http://schemas.openxmlformats.org/markup-compatibility/2006">
          <mc:Choice Requires="x14">
            <control shapeId="104482" r:id="rId18" name="Check Box 34">
              <controlPr defaultSize="0" autoFill="0" autoLine="0" autoPict="0">
                <anchor moveWithCells="1">
                  <from>
                    <xdr:col>13</xdr:col>
                    <xdr:colOff>190500</xdr:colOff>
                    <xdr:row>12</xdr:row>
                    <xdr:rowOff>47625</xdr:rowOff>
                  </from>
                  <to>
                    <xdr:col>14</xdr:col>
                    <xdr:colOff>200025</xdr:colOff>
                    <xdr:row>12</xdr:row>
                    <xdr:rowOff>257175</xdr:rowOff>
                  </to>
                </anchor>
              </controlPr>
            </control>
          </mc:Choice>
        </mc:AlternateContent>
        <mc:AlternateContent xmlns:mc="http://schemas.openxmlformats.org/markup-compatibility/2006">
          <mc:Choice Requires="x14">
            <control shapeId="104484" r:id="rId19" name="Check Box 36">
              <controlPr defaultSize="0" autoFill="0" autoLine="0" autoPict="0">
                <anchor moveWithCells="1">
                  <from>
                    <xdr:col>19</xdr:col>
                    <xdr:colOff>190500</xdr:colOff>
                    <xdr:row>33</xdr:row>
                    <xdr:rowOff>47625</xdr:rowOff>
                  </from>
                  <to>
                    <xdr:col>20</xdr:col>
                    <xdr:colOff>200025</xdr:colOff>
                    <xdr:row>33</xdr:row>
                    <xdr:rowOff>257175</xdr:rowOff>
                  </to>
                </anchor>
              </controlPr>
            </control>
          </mc:Choice>
        </mc:AlternateContent>
        <mc:AlternateContent xmlns:mc="http://schemas.openxmlformats.org/markup-compatibility/2006">
          <mc:Choice Requires="x14">
            <control shapeId="104485" r:id="rId20" name="Check Box 37">
              <controlPr defaultSize="0" autoFill="0" autoLine="0" autoPict="0">
                <anchor moveWithCells="1">
                  <from>
                    <xdr:col>19</xdr:col>
                    <xdr:colOff>190500</xdr:colOff>
                    <xdr:row>34</xdr:row>
                    <xdr:rowOff>47625</xdr:rowOff>
                  </from>
                  <to>
                    <xdr:col>20</xdr:col>
                    <xdr:colOff>200025</xdr:colOff>
                    <xdr:row>34</xdr:row>
                    <xdr:rowOff>257175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AH138"/>
  <sheetViews>
    <sheetView showGridLines="0" view="pageBreakPreview" zoomScaleNormal="100" zoomScaleSheetLayoutView="100" workbookViewId="0">
      <selection activeCell="L23" sqref="L23:M23"/>
    </sheetView>
  </sheetViews>
  <sheetFormatPr defaultRowHeight="13.5"/>
  <cols>
    <col min="1" max="1" width="0.625" customWidth="1"/>
    <col min="2" max="19" width="3.875" customWidth="1"/>
    <col min="20" max="29" width="3.625" customWidth="1"/>
    <col min="30" max="31" width="11" hidden="1" customWidth="1"/>
    <col min="32" max="32" width="3.625" hidden="1" customWidth="1"/>
    <col min="33" max="34" width="9.875" hidden="1" customWidth="1"/>
    <col min="35" max="53" width="3.625" customWidth="1"/>
  </cols>
  <sheetData>
    <row r="1" spans="2:34" ht="3.75" customHeight="1"/>
    <row r="2" spans="2:34" ht="30" customHeight="1">
      <c r="B2" s="326" t="s">
        <v>57</v>
      </c>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5"/>
      <c r="AC2" s="35"/>
    </row>
    <row r="3" spans="2:34" ht="20.100000000000001" customHeight="1">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row>
    <row r="4" spans="2:34" ht="20.100000000000001" customHeight="1" thickBot="1">
      <c r="B4" s="4" t="s">
        <v>55</v>
      </c>
      <c r="C4" s="2"/>
      <c r="D4" s="2"/>
      <c r="E4" s="2"/>
      <c r="F4" s="2"/>
      <c r="G4" s="2"/>
      <c r="H4" s="2"/>
      <c r="I4" s="2"/>
      <c r="J4" s="2"/>
      <c r="K4" s="2"/>
      <c r="L4" s="2"/>
      <c r="M4" s="2"/>
      <c r="N4" s="2"/>
      <c r="O4" s="2"/>
      <c r="P4" s="2"/>
      <c r="Q4" s="2"/>
      <c r="R4" s="2"/>
      <c r="S4" s="2"/>
      <c r="T4" s="28"/>
      <c r="U4" s="28"/>
      <c r="V4" s="28"/>
      <c r="W4" s="28"/>
      <c r="X4" s="6"/>
      <c r="Y4" s="6"/>
      <c r="Z4" s="6"/>
      <c r="AA4" s="6"/>
      <c r="AB4" s="2"/>
      <c r="AC4" s="2"/>
    </row>
    <row r="5" spans="2:34" ht="20.100000000000001" customHeight="1">
      <c r="B5" s="587" t="s">
        <v>6</v>
      </c>
      <c r="C5" s="567"/>
      <c r="D5" s="567" t="s">
        <v>91</v>
      </c>
      <c r="E5" s="567"/>
      <c r="F5" s="567"/>
      <c r="G5" s="567"/>
      <c r="H5" s="567" t="s">
        <v>7</v>
      </c>
      <c r="I5" s="567"/>
      <c r="J5" s="566" t="s">
        <v>193</v>
      </c>
      <c r="K5" s="567"/>
      <c r="L5" s="569" t="s">
        <v>10</v>
      </c>
      <c r="M5" s="570"/>
      <c r="N5" s="566" t="s">
        <v>68</v>
      </c>
      <c r="O5" s="567"/>
      <c r="P5" s="566" t="s">
        <v>67</v>
      </c>
      <c r="Q5" s="567"/>
      <c r="R5" s="567" t="s">
        <v>13</v>
      </c>
      <c r="S5" s="578"/>
      <c r="T5" s="29"/>
      <c r="U5" s="28"/>
      <c r="V5" s="28"/>
      <c r="W5" s="28"/>
      <c r="X5" s="24"/>
      <c r="Y5" s="24"/>
      <c r="Z5" s="24"/>
      <c r="AA5" s="24"/>
      <c r="AD5" s="27" t="s">
        <v>88</v>
      </c>
      <c r="AE5" s="27"/>
      <c r="AG5" s="2" t="s">
        <v>14</v>
      </c>
      <c r="AH5" s="2"/>
    </row>
    <row r="6" spans="2:34" ht="20.100000000000001" customHeight="1" thickBot="1">
      <c r="B6" s="588"/>
      <c r="C6" s="568"/>
      <c r="D6" s="589" t="s">
        <v>9</v>
      </c>
      <c r="E6" s="590"/>
      <c r="F6" s="591" t="s">
        <v>8</v>
      </c>
      <c r="G6" s="568"/>
      <c r="H6" s="568"/>
      <c r="I6" s="568"/>
      <c r="J6" s="568"/>
      <c r="K6" s="568"/>
      <c r="L6" s="571"/>
      <c r="M6" s="571"/>
      <c r="N6" s="568"/>
      <c r="O6" s="568"/>
      <c r="P6" s="568"/>
      <c r="Q6" s="568"/>
      <c r="R6" s="568"/>
      <c r="S6" s="579"/>
      <c r="T6" s="30"/>
      <c r="U6" s="31"/>
      <c r="V6" s="31"/>
      <c r="W6" s="31"/>
      <c r="X6" s="24"/>
      <c r="Y6" s="24"/>
      <c r="Z6" s="24"/>
      <c r="AA6" s="24"/>
      <c r="AD6" s="27" t="s">
        <v>86</v>
      </c>
      <c r="AE6" s="27" t="s">
        <v>84</v>
      </c>
      <c r="AG6" s="2" t="s">
        <v>4</v>
      </c>
      <c r="AH6" s="2" t="s">
        <v>18</v>
      </c>
    </row>
    <row r="7" spans="2:34" ht="20.100000000000001" customHeight="1">
      <c r="B7" s="548"/>
      <c r="C7" s="584"/>
      <c r="D7" s="435"/>
      <c r="E7" s="436"/>
      <c r="F7" s="436"/>
      <c r="G7" s="437"/>
      <c r="H7" s="392"/>
      <c r="I7" s="392"/>
      <c r="J7" s="392"/>
      <c r="K7" s="392"/>
      <c r="L7" s="410" t="s">
        <v>65</v>
      </c>
      <c r="M7" s="410"/>
      <c r="N7" s="581" t="str">
        <f>IF(D7="","",D7*F7*J7*AG7)</f>
        <v/>
      </c>
      <c r="O7" s="581"/>
      <c r="P7" s="585" t="str">
        <f>IF(D7="","",IF(共通条件・結果!$AA$7="８地域","-",D7*F7*J7*AH7))</f>
        <v/>
      </c>
      <c r="Q7" s="585"/>
      <c r="R7" s="581" t="str">
        <f>IF(D7="","",D7*F7*AD7)</f>
        <v/>
      </c>
      <c r="S7" s="586"/>
      <c r="T7" s="53"/>
      <c r="U7" s="41"/>
      <c r="V7" s="41"/>
      <c r="W7" s="41"/>
      <c r="X7" s="24"/>
      <c r="Y7" s="24"/>
      <c r="Z7" s="24"/>
      <c r="AA7" s="24"/>
      <c r="AD7" s="27">
        <f>IF(共通条件・結果!$AA$7="８地域",H7,IF(AE7="FALSE",H7,0.5*H7+0.5*(1/((1/H7)+AE7))))</f>
        <v>0</v>
      </c>
      <c r="AE7" s="26" t="str">
        <f>IF(D7="","FALSE",IF(L7="雨戸",0.1,IF(L7="ｼｬｯﾀｰ",0.1,IF(L7="障子",0.18))))</f>
        <v>FALSE</v>
      </c>
      <c r="AG7" s="27" t="str">
        <f>IF(共通条件・結果!$AA$7="１地域","0.93",IF(共通条件・結果!$AA$7="２地域","0.93",IF(共通条件・結果!$AA$7="３地域","0.93",IF(共通条件・結果!$AA$7="４地域","0.94",IF(共通条件・結果!$AA$7="５地域","0.93",IF(共通条件・結果!$AA$7="６地域","0.94",IF(共通条件・結果!$AA$7="７地域","0.94",IF(共通条件・結果!$AA$7="８地域","0.93"))))))))</f>
        <v>0.94</v>
      </c>
      <c r="AH7" s="27" t="str">
        <f>IF(共通条件・結果!$AA$7="１地域","0.80",IF(共通条件・結果!$AA$7="２地域","0.81",IF(共通条件・結果!$AA$7="３地域","0.81",IF(共通条件・結果!$AA$7="４地域","0.82",IF(共通条件・結果!$AA$7="５地域","0.80",IF(共通条件・結果!$AA$7="６地域","0.80",IF(共通条件・結果!$AA$7="７地域","0.80",IF(共通条件・結果!$AA$7="８地域","-"))))))))</f>
        <v>0.80</v>
      </c>
    </row>
    <row r="8" spans="2:34" ht="20.100000000000001" customHeight="1">
      <c r="B8" s="545"/>
      <c r="C8" s="583"/>
      <c r="D8" s="421"/>
      <c r="E8" s="422"/>
      <c r="F8" s="422"/>
      <c r="G8" s="423"/>
      <c r="H8" s="370"/>
      <c r="I8" s="370"/>
      <c r="J8" s="370"/>
      <c r="K8" s="370"/>
      <c r="L8" s="398" t="s">
        <v>65</v>
      </c>
      <c r="M8" s="398"/>
      <c r="N8" s="539" t="str">
        <f>IF(D8="","",D8*F8*J8*AG8)</f>
        <v/>
      </c>
      <c r="O8" s="539"/>
      <c r="P8" s="539" t="str">
        <f>IF(D8="","",IF(共通条件・結果!$AA$7="８地域","-",D8*F8*J8*AH8))</f>
        <v/>
      </c>
      <c r="Q8" s="539"/>
      <c r="R8" s="539" t="str">
        <f>IF(D8="","",D8*F8*AD8)</f>
        <v/>
      </c>
      <c r="S8" s="540"/>
      <c r="T8" s="54"/>
      <c r="U8" s="34"/>
      <c r="V8" s="34"/>
      <c r="W8" s="34"/>
      <c r="X8" s="24"/>
      <c r="Y8" s="24"/>
      <c r="Z8" s="24"/>
      <c r="AA8" s="24"/>
      <c r="AD8" s="27">
        <f>IF(共通条件・結果!$AA$7="８地域",H8,IF(AE8="FALSE",H8,0.5*H8+0.5*(1/((1/H8)+AE8))))</f>
        <v>0</v>
      </c>
      <c r="AE8" s="26" t="str">
        <f>IF(D8="","FALSE",IF(L8="雨戸",0.1,IF(L8="ｼｬｯﾀｰ",0.1,IF(L8="障子",0.18))))</f>
        <v>FALSE</v>
      </c>
      <c r="AG8" s="27" t="str">
        <f>IF(共通条件・結果!$AA$7="１地域","0.93",IF(共通条件・結果!$AA$7="２地域","0.93",IF(共通条件・結果!$AA$7="３地域","0.93",IF(共通条件・結果!$AA$7="４地域","0.94",IF(共通条件・結果!$AA$7="５地域","0.93",IF(共通条件・結果!$AA$7="６地域","0.94",IF(共通条件・結果!$AA$7="７地域","0.94",IF(共通条件・結果!$AA$7="８地域","0.93"))))))))</f>
        <v>0.94</v>
      </c>
      <c r="AH8" s="27" t="str">
        <f>IF(共通条件・結果!$AA$7="１地域","0.80",IF(共通条件・結果!$AA$7="２地域","0.81",IF(共通条件・結果!$AA$7="３地域","0.81",IF(共通条件・結果!$AA$7="４地域","0.82",IF(共通条件・結果!$AA$7="５地域","0.80",IF(共通条件・結果!$AA$7="６地域","0.80",IF(共通条件・結果!$AA$7="７地域","0.80",IF(共通条件・結果!$AA$7="８地域","-"))))))))</f>
        <v>0.80</v>
      </c>
    </row>
    <row r="9" spans="2:34" ht="20.100000000000001" customHeight="1">
      <c r="B9" s="545"/>
      <c r="C9" s="583"/>
      <c r="D9" s="421"/>
      <c r="E9" s="422"/>
      <c r="F9" s="422"/>
      <c r="G9" s="423"/>
      <c r="H9" s="370"/>
      <c r="I9" s="370"/>
      <c r="J9" s="370"/>
      <c r="K9" s="370"/>
      <c r="L9" s="398" t="s">
        <v>65</v>
      </c>
      <c r="M9" s="398"/>
      <c r="N9" s="539" t="str">
        <f>IF(D9="","",D9*F9*J9*AG9)</f>
        <v/>
      </c>
      <c r="O9" s="539"/>
      <c r="P9" s="539" t="str">
        <f>IF(D9="","",IF(共通条件・結果!$AA$7="８地域","-",D9*F9*J9*AH9))</f>
        <v/>
      </c>
      <c r="Q9" s="539"/>
      <c r="R9" s="539" t="str">
        <f>IF(D9="","",D9*F9*AD9)</f>
        <v/>
      </c>
      <c r="S9" s="540"/>
      <c r="T9" s="54"/>
      <c r="U9" s="34"/>
      <c r="V9" s="34"/>
      <c r="W9" s="34"/>
      <c r="X9" s="24"/>
      <c r="Y9" s="24"/>
      <c r="Z9" s="24"/>
      <c r="AA9" s="24"/>
      <c r="AD9" s="27">
        <f>IF(共通条件・結果!$AA$7="８地域",H9,IF(AE9="FALSE",H9,0.5*H9+0.5*(1/((1/H9)+AE9))))</f>
        <v>0</v>
      </c>
      <c r="AE9" s="26" t="str">
        <f>IF(D9="","FALSE",IF(L9="雨戸",0.1,IF(L9="ｼｬｯﾀｰ",0.1,IF(L9="障子",0.18))))</f>
        <v>FALSE</v>
      </c>
      <c r="AG9" s="27" t="str">
        <f>IF(共通条件・結果!$AA$7="１地域","0.93",IF(共通条件・結果!$AA$7="２地域","0.93",IF(共通条件・結果!$AA$7="３地域","0.93",IF(共通条件・結果!$AA$7="４地域","0.94",IF(共通条件・結果!$AA$7="５地域","0.93",IF(共通条件・結果!$AA$7="６地域","0.94",IF(共通条件・結果!$AA$7="７地域","0.94",IF(共通条件・結果!$AA$7="８地域","0.93"))))))))</f>
        <v>0.94</v>
      </c>
      <c r="AH9" s="27" t="str">
        <f>IF(共通条件・結果!$AA$7="１地域","0.80",IF(共通条件・結果!$AA$7="２地域","0.81",IF(共通条件・結果!$AA$7="３地域","0.81",IF(共通条件・結果!$AA$7="４地域","0.82",IF(共通条件・結果!$AA$7="５地域","0.80",IF(共通条件・結果!$AA$7="６地域","0.80",IF(共通条件・結果!$AA$7="７地域","0.80",IF(共通条件・結果!$AA$7="８地域","-"))))))))</f>
        <v>0.80</v>
      </c>
    </row>
    <row r="10" spans="2:34" ht="20.100000000000001" customHeight="1">
      <c r="B10" s="545"/>
      <c r="C10" s="583"/>
      <c r="D10" s="421"/>
      <c r="E10" s="422"/>
      <c r="F10" s="422"/>
      <c r="G10" s="423"/>
      <c r="H10" s="370"/>
      <c r="I10" s="370"/>
      <c r="J10" s="370"/>
      <c r="K10" s="370"/>
      <c r="L10" s="398" t="s">
        <v>65</v>
      </c>
      <c r="M10" s="398"/>
      <c r="N10" s="539" t="str">
        <f>IF(D10="","",D10*F10*J10*AG10)</f>
        <v/>
      </c>
      <c r="O10" s="539"/>
      <c r="P10" s="539" t="str">
        <f>IF(D10="","",IF(共通条件・結果!$AA$7="８地域","-",D10*F10*J10*AH10))</f>
        <v/>
      </c>
      <c r="Q10" s="539"/>
      <c r="R10" s="539" t="str">
        <f>IF(D10="","",D10*F10*AD10)</f>
        <v/>
      </c>
      <c r="S10" s="540"/>
      <c r="T10" s="53"/>
      <c r="U10" s="41"/>
      <c r="V10" s="41"/>
      <c r="W10" s="41"/>
      <c r="X10" s="24"/>
      <c r="Y10" s="24"/>
      <c r="Z10" s="24"/>
      <c r="AA10" s="24"/>
      <c r="AD10" s="27">
        <f>IF(共通条件・結果!$AA$7="８地域",H10,IF(AE10="FALSE",H10,0.5*H10+0.5*(1/((1/H10)+AE10))))</f>
        <v>0</v>
      </c>
      <c r="AE10" s="26" t="str">
        <f>IF(D10="","FALSE",IF(L10="雨戸",0.1,IF(L10="ｼｬｯﾀｰ",0.1,IF(L10="障子",0.18))))</f>
        <v>FALSE</v>
      </c>
      <c r="AG10" s="27" t="str">
        <f>IF(共通条件・結果!$AA$7="１地域","0.93",IF(共通条件・結果!$AA$7="２地域","0.93",IF(共通条件・結果!$AA$7="３地域","0.93",IF(共通条件・結果!$AA$7="４地域","0.94",IF(共通条件・結果!$AA$7="５地域","0.93",IF(共通条件・結果!$AA$7="６地域","0.94",IF(共通条件・結果!$AA$7="７地域","0.94",IF(共通条件・結果!$AA$7="８地域","0.93"))))))))</f>
        <v>0.94</v>
      </c>
      <c r="AH10" s="27" t="str">
        <f>IF(共通条件・結果!$AA$7="１地域","0.80",IF(共通条件・結果!$AA$7="２地域","0.81",IF(共通条件・結果!$AA$7="３地域","0.81",IF(共通条件・結果!$AA$7="４地域","0.82",IF(共通条件・結果!$AA$7="５地域","0.80",IF(共通条件・結果!$AA$7="６地域","0.80",IF(共通条件・結果!$AA$7="７地域","0.80",IF(共通条件・結果!$AA$7="８地域","-"))))))))</f>
        <v>0.80</v>
      </c>
    </row>
    <row r="11" spans="2:34" ht="20.100000000000001" customHeight="1" thickBot="1">
      <c r="B11" s="534"/>
      <c r="C11" s="580"/>
      <c r="D11" s="421"/>
      <c r="E11" s="422"/>
      <c r="F11" s="422"/>
      <c r="G11" s="423"/>
      <c r="H11" s="370"/>
      <c r="I11" s="370"/>
      <c r="J11" s="370"/>
      <c r="K11" s="370"/>
      <c r="L11" s="410"/>
      <c r="M11" s="410"/>
      <c r="N11" s="581" t="str">
        <f>IF(D11="","",D11*F11*J11*AG11)</f>
        <v/>
      </c>
      <c r="O11" s="581"/>
      <c r="P11" s="582" t="str">
        <f>IF(D11="","",IF(共通条件・結果!$AA$7="８地域","-",D11*F11*J11*AH11))</f>
        <v/>
      </c>
      <c r="Q11" s="582"/>
      <c r="R11" s="539" t="str">
        <f>IF(D11="","",D11*F11*AD11)</f>
        <v/>
      </c>
      <c r="S11" s="540"/>
      <c r="T11" s="53"/>
      <c r="U11" s="41"/>
      <c r="V11" s="41"/>
      <c r="W11" s="41"/>
      <c r="X11" s="24"/>
      <c r="Y11" s="24"/>
      <c r="Z11" s="24"/>
      <c r="AA11" s="24"/>
      <c r="AD11" s="27">
        <f>IF(共通条件・結果!$AA$7="８地域",H11,IF(AE11="FALSE",H11,0.5*H11+0.5*(1/((1/H11)+AE11))))</f>
        <v>0</v>
      </c>
      <c r="AE11" s="26" t="str">
        <f>IF(D11="","FALSE",IF(L11="雨戸",0.1,IF(L11="ｼｬｯﾀｰ",0.1,IF(L11="障子",0.18))))</f>
        <v>FALSE</v>
      </c>
      <c r="AG11" s="27" t="str">
        <f>IF(共通条件・結果!$AA$7="１地域","0.93",IF(共通条件・結果!$AA$7="２地域","0.93",IF(共通条件・結果!$AA$7="３地域","0.93",IF(共通条件・結果!$AA$7="４地域","0.94",IF(共通条件・結果!$AA$7="５地域","0.93",IF(共通条件・結果!$AA$7="６地域","0.94",IF(共通条件・結果!$AA$7="７地域","0.94",IF(共通条件・結果!$AA$7="８地域","0.93"))))))))</f>
        <v>0.94</v>
      </c>
      <c r="AH11" s="27" t="str">
        <f>IF(共通条件・結果!$AA$7="１地域","0.80",IF(共通条件・結果!$AA$7="２地域","0.81",IF(共通条件・結果!$AA$7="３地域","0.81",IF(共通条件・結果!$AA$7="４地域","0.82",IF(共通条件・結果!$AA$7="５地域","0.80",IF(共通条件・結果!$AA$7="６地域","0.80",IF(共通条件・結果!$AA$7="７地域","0.80",IF(共通条件・結果!$AA$7="８地域","-"))))))))</f>
        <v>0.80</v>
      </c>
    </row>
    <row r="12" spans="2:34" ht="20.100000000000001" customHeight="1" thickBot="1">
      <c r="B12" s="559" t="s">
        <v>139</v>
      </c>
      <c r="C12" s="560"/>
      <c r="D12" s="560"/>
      <c r="E12" s="560"/>
      <c r="F12" s="560"/>
      <c r="G12" s="560"/>
      <c r="H12" s="560"/>
      <c r="I12" s="560"/>
      <c r="J12" s="560"/>
      <c r="K12" s="560"/>
      <c r="L12" s="560"/>
      <c r="M12" s="561"/>
      <c r="N12" s="532">
        <f>SUM(N7:O11)</f>
        <v>0</v>
      </c>
      <c r="O12" s="532"/>
      <c r="P12" s="532">
        <f>SUM(P7:Q11)</f>
        <v>0</v>
      </c>
      <c r="Q12" s="532"/>
      <c r="R12" s="532">
        <f>SUM(R7:S11)</f>
        <v>0</v>
      </c>
      <c r="S12" s="533"/>
      <c r="T12" s="55"/>
      <c r="U12" s="56"/>
      <c r="V12" s="56"/>
      <c r="W12" s="56"/>
      <c r="X12" s="24"/>
      <c r="Y12" s="24"/>
      <c r="Z12" s="24"/>
      <c r="AA12" s="24"/>
      <c r="AD12" s="27"/>
      <c r="AE12" s="26"/>
    </row>
    <row r="13" spans="2:34" ht="20.100000000000001" customHeight="1">
      <c r="B13" s="37"/>
      <c r="C13" s="37"/>
      <c r="D13" s="37"/>
      <c r="E13" s="37"/>
      <c r="F13" s="37"/>
      <c r="G13" s="37"/>
      <c r="H13" s="37"/>
      <c r="I13" s="37"/>
      <c r="J13" s="37"/>
      <c r="K13" s="37"/>
      <c r="L13" s="37"/>
      <c r="M13" s="37"/>
      <c r="N13" s="37"/>
      <c r="O13" s="37"/>
      <c r="P13" s="37"/>
      <c r="Q13" s="37"/>
      <c r="R13" s="37"/>
      <c r="S13" s="37"/>
      <c r="T13" s="37"/>
      <c r="U13" s="37"/>
      <c r="V13" s="37"/>
      <c r="W13" s="37"/>
      <c r="X13" s="2"/>
      <c r="Y13" s="2"/>
      <c r="Z13" s="2"/>
      <c r="AA13" s="2"/>
      <c r="AB13" s="2"/>
      <c r="AC13" s="2"/>
      <c r="AD13" s="27"/>
      <c r="AE13" s="26"/>
    </row>
    <row r="14" spans="2:34" ht="20.100000000000001" customHeight="1" thickBot="1">
      <c r="B14" s="38" t="s">
        <v>58</v>
      </c>
      <c r="C14" s="37"/>
      <c r="D14" s="37"/>
      <c r="E14" s="37"/>
      <c r="F14" s="37"/>
      <c r="G14" s="37"/>
      <c r="H14" s="37"/>
      <c r="I14" s="37"/>
      <c r="J14" s="37"/>
      <c r="K14" s="37"/>
      <c r="L14" s="37"/>
      <c r="M14" s="37"/>
      <c r="N14" s="37"/>
      <c r="O14" s="37"/>
      <c r="P14" s="37"/>
      <c r="Q14" s="37"/>
      <c r="R14" s="37"/>
      <c r="S14" s="37"/>
      <c r="T14" s="37"/>
      <c r="U14" s="37"/>
      <c r="V14" s="37"/>
      <c r="W14" s="37"/>
      <c r="X14" s="2"/>
      <c r="Y14" s="2"/>
      <c r="Z14" s="2"/>
      <c r="AA14" s="2"/>
      <c r="AB14" s="2"/>
      <c r="AC14" s="2"/>
    </row>
    <row r="15" spans="2:34" ht="20.100000000000001" customHeight="1">
      <c r="B15" s="562" t="s">
        <v>0</v>
      </c>
      <c r="C15" s="563"/>
      <c r="D15" s="566" t="s">
        <v>64</v>
      </c>
      <c r="E15" s="567"/>
      <c r="F15" s="566" t="s">
        <v>59</v>
      </c>
      <c r="G15" s="567"/>
      <c r="H15" s="566" t="s">
        <v>170</v>
      </c>
      <c r="I15" s="567"/>
      <c r="J15" s="569" t="s">
        <v>54</v>
      </c>
      <c r="K15" s="570"/>
      <c r="L15" s="572" t="s">
        <v>7</v>
      </c>
      <c r="M15" s="563"/>
      <c r="N15" s="574" t="s">
        <v>68</v>
      </c>
      <c r="O15" s="575"/>
      <c r="P15" s="574" t="s">
        <v>67</v>
      </c>
      <c r="Q15" s="575"/>
      <c r="R15" s="567" t="s">
        <v>13</v>
      </c>
      <c r="S15" s="578"/>
    </row>
    <row r="16" spans="2:34" ht="20.100000000000001" customHeight="1" thickBot="1">
      <c r="B16" s="564"/>
      <c r="C16" s="565"/>
      <c r="D16" s="568"/>
      <c r="E16" s="568"/>
      <c r="F16" s="568"/>
      <c r="G16" s="568"/>
      <c r="H16" s="568"/>
      <c r="I16" s="568"/>
      <c r="J16" s="571"/>
      <c r="K16" s="571"/>
      <c r="L16" s="573"/>
      <c r="M16" s="565"/>
      <c r="N16" s="576"/>
      <c r="O16" s="577"/>
      <c r="P16" s="576"/>
      <c r="Q16" s="577"/>
      <c r="R16" s="568"/>
      <c r="S16" s="579"/>
      <c r="AD16" s="1" t="s">
        <v>92</v>
      </c>
    </row>
    <row r="17" spans="2:30" ht="20.100000000000001" customHeight="1">
      <c r="B17" s="548"/>
      <c r="C17" s="389"/>
      <c r="D17" s="549" t="s">
        <v>389</v>
      </c>
      <c r="E17" s="550"/>
      <c r="F17" s="388">
        <v>0</v>
      </c>
      <c r="G17" s="389"/>
      <c r="H17" s="388"/>
      <c r="I17" s="389"/>
      <c r="J17" s="551">
        <f>IF(F17="","",F17-H17)</f>
        <v>0</v>
      </c>
      <c r="K17" s="552"/>
      <c r="L17" s="549">
        <f>ROUND((IF(F17="","",部位U計算!$F$35)),2)</f>
        <v>0.25</v>
      </c>
      <c r="M17" s="550"/>
      <c r="N17" s="553">
        <f t="shared" ref="N17:N24" si="0">IF($D17="","",IF(OR($D17="外気床",$D17="その他床"),0,IF(OR($D17="屋根",$D17="天井"),J17*L17*0.034)))</f>
        <v>0</v>
      </c>
      <c r="O17" s="554"/>
      <c r="P17" s="555">
        <f>IF(D17="","",IF(共通条件・結果!$AA$7="８地域","-",IF($D17="　","",IF(OR($D17="外気床",$D17="その他床"),0,IF(OR($D17="屋根",$D17="天井"),J17*L17*0.034)))))</f>
        <v>0</v>
      </c>
      <c r="Q17" s="556"/>
      <c r="R17" s="557">
        <f t="shared" ref="R17:R24" si="1">IF(F17="","",J17*L17*AD17)</f>
        <v>0</v>
      </c>
      <c r="S17" s="558"/>
      <c r="AD17" s="32">
        <f>IF(D17="　","FALSE",IF(D17="その他床",0.7,1))</f>
        <v>1</v>
      </c>
    </row>
    <row r="18" spans="2:30" ht="20.100000000000001" customHeight="1">
      <c r="B18" s="545"/>
      <c r="C18" s="489"/>
      <c r="D18" s="488" t="s">
        <v>390</v>
      </c>
      <c r="E18" s="489"/>
      <c r="F18" s="488">
        <v>67.900000000000006</v>
      </c>
      <c r="G18" s="489"/>
      <c r="H18" s="488"/>
      <c r="I18" s="489"/>
      <c r="J18" s="546">
        <f t="shared" ref="J18:J24" si="2">IF(F18="","",F18-H18)</f>
        <v>67.900000000000006</v>
      </c>
      <c r="K18" s="547"/>
      <c r="L18" s="488">
        <f>ROUND((IF(F18="","",部位U計算!$F$18)),2)</f>
        <v>0.23</v>
      </c>
      <c r="M18" s="489"/>
      <c r="N18" s="543">
        <f t="shared" si="0"/>
        <v>0.53097800000000017</v>
      </c>
      <c r="O18" s="544"/>
      <c r="P18" s="543">
        <f>IF(D18="","",IF(共通条件・結果!$AA$7="８地域","-",IF($D18="　","",IF(OR($D18="外気床",$D18="その他床"),0,IF(OR($D18="屋根",$D18="天井"),J18*L18*0.034)))))</f>
        <v>0.53097800000000017</v>
      </c>
      <c r="Q18" s="544"/>
      <c r="R18" s="539">
        <f t="shared" si="1"/>
        <v>15.617000000000003</v>
      </c>
      <c r="S18" s="540"/>
      <c r="AD18" s="33">
        <f t="shared" ref="AD18:AD24" si="3">IF(D18="　","FALSE",IF(D18="その他床",0.7,1))</f>
        <v>1</v>
      </c>
    </row>
    <row r="19" spans="2:30" ht="20.100000000000001" customHeight="1">
      <c r="B19" s="545"/>
      <c r="C19" s="489"/>
      <c r="D19" s="488" t="s">
        <v>391</v>
      </c>
      <c r="E19" s="489"/>
      <c r="F19" s="488">
        <v>0</v>
      </c>
      <c r="G19" s="489"/>
      <c r="H19" s="488"/>
      <c r="I19" s="489"/>
      <c r="J19" s="546">
        <f t="shared" si="2"/>
        <v>0</v>
      </c>
      <c r="K19" s="547"/>
      <c r="L19" s="488">
        <f>ROUND((IF(F19="","",部位U計算!$F$86)),2)</f>
        <v>0.33</v>
      </c>
      <c r="M19" s="489"/>
      <c r="N19" s="543">
        <f t="shared" si="0"/>
        <v>0</v>
      </c>
      <c r="O19" s="544"/>
      <c r="P19" s="543">
        <f>IF(D19="","",IF(共通条件・結果!$AA$7="８地域","-",IF($D19="　","",IF(OR($D19="外気床",$D19="その他床"),0,IF(OR($D19="屋根",$D19="天井"),J19*L19*0.034)))))</f>
        <v>0</v>
      </c>
      <c r="Q19" s="544"/>
      <c r="R19" s="539">
        <f t="shared" si="1"/>
        <v>0</v>
      </c>
      <c r="S19" s="540"/>
      <c r="AD19" s="33">
        <f t="shared" si="3"/>
        <v>1</v>
      </c>
    </row>
    <row r="20" spans="2:30" ht="20.100000000000001" customHeight="1">
      <c r="B20" s="545"/>
      <c r="C20" s="489"/>
      <c r="D20" s="488" t="s">
        <v>392</v>
      </c>
      <c r="E20" s="489"/>
      <c r="F20" s="488">
        <v>62.11</v>
      </c>
      <c r="G20" s="489"/>
      <c r="H20" s="488"/>
      <c r="I20" s="489"/>
      <c r="J20" s="546">
        <f t="shared" si="2"/>
        <v>62.11</v>
      </c>
      <c r="K20" s="547"/>
      <c r="L20" s="488">
        <f>ROUND((IF(F20="","",部位U計算!$F$69)),2)</f>
        <v>0.44</v>
      </c>
      <c r="M20" s="489"/>
      <c r="N20" s="543">
        <f t="shared" si="0"/>
        <v>0</v>
      </c>
      <c r="O20" s="544"/>
      <c r="P20" s="543">
        <f>IF(D20="","",IF(共通条件・結果!$AA$7="８地域","-",IF($D20="　","",IF(OR($D20="外気床",$D20="その他床"),0,IF(OR($D20="屋根",$D20="天井"),J20*L20*0.034)))))</f>
        <v>0</v>
      </c>
      <c r="Q20" s="544"/>
      <c r="R20" s="539">
        <f t="shared" si="1"/>
        <v>19.129879999999996</v>
      </c>
      <c r="S20" s="540"/>
      <c r="AD20" s="33">
        <f t="shared" si="3"/>
        <v>0.7</v>
      </c>
    </row>
    <row r="21" spans="2:30" ht="20.100000000000001" customHeight="1">
      <c r="B21" s="545"/>
      <c r="C21" s="489"/>
      <c r="D21" s="488"/>
      <c r="E21" s="489"/>
      <c r="F21" s="488"/>
      <c r="G21" s="489"/>
      <c r="H21" s="488"/>
      <c r="I21" s="489"/>
      <c r="J21" s="546" t="str">
        <f t="shared" si="2"/>
        <v/>
      </c>
      <c r="K21" s="547"/>
      <c r="L21" s="488"/>
      <c r="M21" s="489"/>
      <c r="N21" s="543" t="str">
        <f t="shared" si="0"/>
        <v/>
      </c>
      <c r="O21" s="544"/>
      <c r="P21" s="543" t="str">
        <f>IF(D21="","",IF(共通条件・結果!$AA$7="８地域","-",IF($D21="　","",IF(OR($D21="外気床",$D21="その他床"),0,IF(OR($D21="屋根",$D21="天井"),J21*L21*0.034)))))</f>
        <v/>
      </c>
      <c r="Q21" s="544"/>
      <c r="R21" s="539" t="str">
        <f t="shared" si="1"/>
        <v/>
      </c>
      <c r="S21" s="540"/>
      <c r="AD21" s="33">
        <f t="shared" si="3"/>
        <v>1</v>
      </c>
    </row>
    <row r="22" spans="2:30" ht="20.100000000000001" customHeight="1">
      <c r="B22" s="545"/>
      <c r="C22" s="489"/>
      <c r="D22" s="488"/>
      <c r="E22" s="489"/>
      <c r="F22" s="488"/>
      <c r="G22" s="489"/>
      <c r="H22" s="488"/>
      <c r="I22" s="489"/>
      <c r="J22" s="546" t="str">
        <f t="shared" si="2"/>
        <v/>
      </c>
      <c r="K22" s="547"/>
      <c r="L22" s="488"/>
      <c r="M22" s="489"/>
      <c r="N22" s="543" t="str">
        <f t="shared" si="0"/>
        <v/>
      </c>
      <c r="O22" s="544"/>
      <c r="P22" s="543" t="str">
        <f>IF(D22="","",IF(共通条件・結果!$AA$7="８地域","-",IF($D22="　","",IF(OR($D22="外気床",$D22="その他床"),0,IF(OR($D22="屋根",$D22="天井"),J22*L22*0.034)))))</f>
        <v/>
      </c>
      <c r="Q22" s="544"/>
      <c r="R22" s="539" t="str">
        <f t="shared" si="1"/>
        <v/>
      </c>
      <c r="S22" s="540"/>
      <c r="AD22" s="33">
        <f t="shared" si="3"/>
        <v>1</v>
      </c>
    </row>
    <row r="23" spans="2:30" ht="20.100000000000001" customHeight="1">
      <c r="B23" s="545"/>
      <c r="C23" s="489"/>
      <c r="D23" s="488"/>
      <c r="E23" s="489"/>
      <c r="F23" s="488"/>
      <c r="G23" s="489"/>
      <c r="H23" s="488"/>
      <c r="I23" s="489"/>
      <c r="J23" s="546" t="str">
        <f t="shared" si="2"/>
        <v/>
      </c>
      <c r="K23" s="547"/>
      <c r="L23" s="488"/>
      <c r="M23" s="489"/>
      <c r="N23" s="541" t="str">
        <f t="shared" si="0"/>
        <v/>
      </c>
      <c r="O23" s="542"/>
      <c r="P23" s="543" t="str">
        <f>IF(D23="","",IF(共通条件・結果!$AA$7="８地域","-",IF($D23="　","",IF(OR($D23="外気床",$D23="その他床"),0,IF(OR($D23="屋根",$D23="天井"),J23*L23*0.034)))))</f>
        <v/>
      </c>
      <c r="Q23" s="544"/>
      <c r="R23" s="539" t="str">
        <f t="shared" si="1"/>
        <v/>
      </c>
      <c r="S23" s="540"/>
      <c r="AD23" s="33">
        <f t="shared" si="3"/>
        <v>1</v>
      </c>
    </row>
    <row r="24" spans="2:30" ht="20.100000000000001" customHeight="1" thickBot="1">
      <c r="B24" s="534"/>
      <c r="C24" s="347"/>
      <c r="D24" s="535"/>
      <c r="E24" s="536"/>
      <c r="F24" s="346"/>
      <c r="G24" s="347"/>
      <c r="H24" s="346"/>
      <c r="I24" s="347"/>
      <c r="J24" s="537" t="str">
        <f t="shared" si="2"/>
        <v/>
      </c>
      <c r="K24" s="538"/>
      <c r="L24" s="535"/>
      <c r="M24" s="536"/>
      <c r="N24" s="526" t="str">
        <f t="shared" si="0"/>
        <v/>
      </c>
      <c r="O24" s="527"/>
      <c r="P24" s="526" t="str">
        <f>IF(D24="","",IF(共通条件・結果!$AA$7="８地域","-",IF($D24="　","",IF(OR($D24="外気床",$D24="その他床"),0,IF(OR($D24="屋根",$D24="天井"),J24*L24*0.034)))))</f>
        <v/>
      </c>
      <c r="Q24" s="527"/>
      <c r="R24" s="528" t="str">
        <f t="shared" si="1"/>
        <v/>
      </c>
      <c r="S24" s="529"/>
      <c r="AD24" s="33">
        <f t="shared" si="3"/>
        <v>1</v>
      </c>
    </row>
    <row r="25" spans="2:30" ht="20.100000000000001" customHeight="1" thickBot="1">
      <c r="B25" s="408" t="s">
        <v>138</v>
      </c>
      <c r="C25" s="409"/>
      <c r="D25" s="409"/>
      <c r="E25" s="409"/>
      <c r="F25" s="409"/>
      <c r="G25" s="409"/>
      <c r="H25" s="409"/>
      <c r="I25" s="409"/>
      <c r="J25" s="409"/>
      <c r="K25" s="409"/>
      <c r="L25" s="409"/>
      <c r="M25" s="468"/>
      <c r="N25" s="530">
        <f>SUM(N17:O24)</f>
        <v>0.53097800000000017</v>
      </c>
      <c r="O25" s="531"/>
      <c r="P25" s="530">
        <f>SUM(P17:Q24)</f>
        <v>0.53097800000000017</v>
      </c>
      <c r="Q25" s="531"/>
      <c r="R25" s="532">
        <f>SUM(R17:S24)</f>
        <v>34.746879999999997</v>
      </c>
      <c r="S25" s="533"/>
    </row>
    <row r="26" spans="2:30" ht="20.100000000000001" customHeight="1">
      <c r="B26" s="2"/>
      <c r="C26" s="2"/>
      <c r="D26" s="2"/>
      <c r="E26" s="2"/>
      <c r="F26" s="2"/>
      <c r="G26" s="2"/>
      <c r="H26" s="2"/>
      <c r="I26" s="2"/>
      <c r="J26" s="2"/>
      <c r="K26" s="2"/>
      <c r="L26" s="2"/>
      <c r="M26" s="2"/>
      <c r="N26" s="2"/>
      <c r="O26" s="2"/>
      <c r="P26" s="2"/>
      <c r="Q26" s="2"/>
    </row>
    <row r="27" spans="2:30" ht="20.100000000000001" customHeight="1">
      <c r="B27" s="2"/>
      <c r="C27" s="2"/>
      <c r="D27" s="2"/>
      <c r="E27" s="2"/>
      <c r="F27" s="2"/>
      <c r="G27" s="2"/>
      <c r="H27" s="2"/>
      <c r="I27" s="2"/>
      <c r="J27" s="2"/>
      <c r="K27" s="2"/>
      <c r="L27" s="2"/>
      <c r="M27" s="2"/>
      <c r="N27" s="2"/>
      <c r="O27" s="2"/>
      <c r="P27" s="2"/>
      <c r="Q27" s="2"/>
    </row>
    <row r="28" spans="2:30" ht="20.100000000000001" customHeight="1">
      <c r="B28" s="68"/>
      <c r="C28" s="6"/>
      <c r="D28" s="6"/>
      <c r="E28" s="6"/>
      <c r="F28" s="6"/>
      <c r="G28" s="6"/>
      <c r="H28" s="6"/>
      <c r="I28" s="6"/>
      <c r="J28" s="6"/>
      <c r="K28" s="6"/>
      <c r="L28" s="6"/>
      <c r="M28" s="6"/>
      <c r="N28" s="6"/>
      <c r="O28" s="6"/>
      <c r="P28" s="6"/>
      <c r="Q28" s="6"/>
      <c r="R28" s="6"/>
      <c r="S28" s="6"/>
      <c r="T28" s="2"/>
      <c r="U28" s="2"/>
      <c r="V28" s="2"/>
      <c r="W28" s="2"/>
      <c r="X28" s="2"/>
      <c r="Y28" s="2"/>
      <c r="Z28" s="2"/>
      <c r="AA28" s="2"/>
      <c r="AB28" s="2"/>
      <c r="AC28" s="2"/>
    </row>
    <row r="29" spans="2:30" ht="20.100000000000001" customHeight="1" thickBot="1">
      <c r="B29" s="4" t="s">
        <v>164</v>
      </c>
      <c r="C29" s="2"/>
      <c r="D29" s="2"/>
      <c r="E29" s="2"/>
      <c r="F29" s="2"/>
      <c r="G29" s="2"/>
      <c r="H29" s="2"/>
      <c r="I29" s="2"/>
      <c r="J29" s="2"/>
      <c r="K29" s="2"/>
      <c r="L29" s="2"/>
      <c r="M29" s="2"/>
      <c r="N29" s="2"/>
      <c r="O29" s="2"/>
      <c r="P29" s="2"/>
      <c r="Q29" s="2"/>
      <c r="R29" s="2"/>
      <c r="S29" s="8"/>
      <c r="T29" s="8"/>
      <c r="U29" s="8"/>
      <c r="V29" s="8"/>
      <c r="W29" s="8"/>
      <c r="X29" s="8"/>
      <c r="Y29" s="8"/>
      <c r="Z29" s="2"/>
      <c r="AA29" s="2"/>
      <c r="AB29" s="2"/>
      <c r="AC29" s="2"/>
    </row>
    <row r="30" spans="2:30" ht="20.100000000000001" customHeight="1">
      <c r="B30" s="517" t="s">
        <v>61</v>
      </c>
      <c r="C30" s="518"/>
      <c r="D30" s="257" t="s">
        <v>56</v>
      </c>
      <c r="E30" s="258"/>
      <c r="F30" s="258"/>
      <c r="G30" s="258"/>
      <c r="H30" s="258"/>
      <c r="I30" s="258"/>
      <c r="J30" s="259"/>
      <c r="K30" s="10"/>
      <c r="L30" s="69"/>
      <c r="M30" s="69"/>
      <c r="N30" s="10"/>
      <c r="O30" s="11"/>
      <c r="P30" s="523">
        <f>T30+Y30</f>
        <v>130.01</v>
      </c>
      <c r="Q30" s="523"/>
      <c r="R30" s="10" t="s">
        <v>165</v>
      </c>
      <c r="S30" s="11" t="s">
        <v>62</v>
      </c>
      <c r="T30" s="524">
        <f>D7*F7+D8*F8+D9*F9+D10*F10+D11*F11</f>
        <v>0</v>
      </c>
      <c r="U30" s="524"/>
      <c r="V30" s="70" t="s">
        <v>166</v>
      </c>
      <c r="W30" s="286" t="s">
        <v>167</v>
      </c>
      <c r="X30" s="286"/>
      <c r="Y30" s="524">
        <f>SUM(J17:K24)</f>
        <v>130.01</v>
      </c>
      <c r="Z30" s="524"/>
      <c r="AA30" s="71" t="s">
        <v>168</v>
      </c>
      <c r="AB30" s="6"/>
      <c r="AC30" s="6"/>
    </row>
    <row r="31" spans="2:30" ht="20.100000000000001" customHeight="1">
      <c r="B31" s="519"/>
      <c r="C31" s="520"/>
      <c r="D31" s="250" t="s">
        <v>72</v>
      </c>
      <c r="E31" s="251"/>
      <c r="F31" s="251"/>
      <c r="G31" s="251"/>
      <c r="H31" s="251"/>
      <c r="I31" s="251"/>
      <c r="J31" s="252"/>
      <c r="K31" s="9"/>
      <c r="L31" s="9"/>
      <c r="M31" s="9"/>
      <c r="N31" s="9"/>
      <c r="O31" s="9"/>
      <c r="P31" s="9"/>
      <c r="Q31" s="9"/>
      <c r="R31" s="9"/>
      <c r="S31" s="9"/>
      <c r="T31" s="9"/>
      <c r="U31" s="9"/>
      <c r="V31" s="9"/>
      <c r="W31" s="525">
        <f>N12+N25</f>
        <v>0.53097800000000017</v>
      </c>
      <c r="X31" s="525"/>
      <c r="Y31" s="525"/>
      <c r="Z31" s="72"/>
      <c r="AA31" s="73"/>
      <c r="AB31" s="6"/>
      <c r="AC31" s="6"/>
    </row>
    <row r="32" spans="2:30" ht="20.100000000000001" customHeight="1">
      <c r="B32" s="519"/>
      <c r="C32" s="520"/>
      <c r="D32" s="250" t="s">
        <v>73</v>
      </c>
      <c r="E32" s="251"/>
      <c r="F32" s="251"/>
      <c r="G32" s="251"/>
      <c r="H32" s="251"/>
      <c r="I32" s="251"/>
      <c r="J32" s="252"/>
      <c r="K32" s="9"/>
      <c r="L32" s="9"/>
      <c r="M32" s="9"/>
      <c r="N32" s="9"/>
      <c r="O32" s="9"/>
      <c r="P32" s="9"/>
      <c r="Q32" s="9"/>
      <c r="R32" s="9"/>
      <c r="S32" s="9"/>
      <c r="T32" s="9"/>
      <c r="U32" s="9"/>
      <c r="V32" s="9"/>
      <c r="W32" s="525">
        <f>P12+P25</f>
        <v>0.53097800000000017</v>
      </c>
      <c r="X32" s="525"/>
      <c r="Y32" s="525"/>
      <c r="Z32" s="72"/>
      <c r="AA32" s="73"/>
      <c r="AB32" s="6"/>
      <c r="AC32" s="6"/>
    </row>
    <row r="33" spans="2:29" ht="20.100000000000001" customHeight="1" thickBot="1">
      <c r="B33" s="521"/>
      <c r="C33" s="522"/>
      <c r="D33" s="237" t="s">
        <v>20</v>
      </c>
      <c r="E33" s="238"/>
      <c r="F33" s="238"/>
      <c r="G33" s="238"/>
      <c r="H33" s="238"/>
      <c r="I33" s="238"/>
      <c r="J33" s="239"/>
      <c r="K33" s="8"/>
      <c r="L33" s="8"/>
      <c r="M33" s="8"/>
      <c r="N33" s="8"/>
      <c r="O33" s="8"/>
      <c r="P33" s="8"/>
      <c r="Q33" s="8"/>
      <c r="R33" s="8"/>
      <c r="S33" s="8"/>
      <c r="T33" s="8"/>
      <c r="U33" s="8"/>
      <c r="V33" s="8"/>
      <c r="W33" s="516">
        <f>R12+R25</f>
        <v>34.746879999999997</v>
      </c>
      <c r="X33" s="516"/>
      <c r="Y33" s="516"/>
      <c r="Z33" s="74" t="s">
        <v>169</v>
      </c>
      <c r="AA33" s="75"/>
      <c r="AB33" s="6"/>
      <c r="AC33" s="6"/>
    </row>
    <row r="34" spans="2:29" ht="20.100000000000001" customHeight="1"/>
    <row r="35" spans="2:29" ht="20.100000000000001" customHeight="1"/>
    <row r="36" spans="2:29" ht="20.100000000000001" customHeight="1"/>
    <row r="37" spans="2:29" ht="20.100000000000001" customHeight="1"/>
    <row r="38" spans="2:29" ht="20.100000000000001" customHeight="1"/>
    <row r="39" spans="2:29" ht="20.100000000000001" customHeight="1"/>
    <row r="40" spans="2:29" ht="20.100000000000001" customHeight="1"/>
    <row r="41" spans="2:29" ht="20.100000000000001" customHeight="1"/>
    <row r="42" spans="2:29" ht="20.100000000000001" customHeight="1"/>
    <row r="43" spans="2:29" ht="20.100000000000001" customHeight="1"/>
    <row r="44" spans="2:29" ht="20.100000000000001" customHeight="1"/>
    <row r="45" spans="2:29" ht="20.100000000000001" customHeight="1"/>
    <row r="46" spans="2:29" ht="20.100000000000001" customHeight="1"/>
    <row r="47" spans="2:29" ht="20.100000000000001" customHeight="1"/>
    <row r="48" spans="2:29"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sheetData>
  <sheetProtection algorithmName="SHA-512" hashValue="aqm9G04pLxsZ9qnIiTzOjtRJQpq6fqCOLsjY24t3dSfXOVQlkoMMidZFYxsnLBEa4fLN1WwdUz8Mt0m5q9+zXg==" saltValue="qOv9k+AVSCRW4+yDttKzBQ==" spinCount="100000" sheet="1" objects="1" scenarios="1" selectLockedCells="1"/>
  <mergeCells count="157">
    <mergeCell ref="B2:AA2"/>
    <mergeCell ref="B5:C6"/>
    <mergeCell ref="D5:G5"/>
    <mergeCell ref="H5:I6"/>
    <mergeCell ref="J5:K6"/>
    <mergeCell ref="L5:M6"/>
    <mergeCell ref="N5:O6"/>
    <mergeCell ref="P5:Q6"/>
    <mergeCell ref="R5:S6"/>
    <mergeCell ref="D6:E6"/>
    <mergeCell ref="F6:G6"/>
    <mergeCell ref="B7:C7"/>
    <mergeCell ref="D7:E7"/>
    <mergeCell ref="F7:G7"/>
    <mergeCell ref="H7:I7"/>
    <mergeCell ref="J7:K7"/>
    <mergeCell ref="L7:M7"/>
    <mergeCell ref="N7:O7"/>
    <mergeCell ref="P7:Q7"/>
    <mergeCell ref="R7:S7"/>
    <mergeCell ref="B8:C8"/>
    <mergeCell ref="D8:E8"/>
    <mergeCell ref="F8:G8"/>
    <mergeCell ref="H8:I8"/>
    <mergeCell ref="J8:K8"/>
    <mergeCell ref="L8:M8"/>
    <mergeCell ref="N8:O8"/>
    <mergeCell ref="P8:Q8"/>
    <mergeCell ref="R8:S8"/>
    <mergeCell ref="B9:C9"/>
    <mergeCell ref="D9:E9"/>
    <mergeCell ref="F9:G9"/>
    <mergeCell ref="H9:I9"/>
    <mergeCell ref="J9:K9"/>
    <mergeCell ref="L9:M9"/>
    <mergeCell ref="N9:O9"/>
    <mergeCell ref="P9:Q9"/>
    <mergeCell ref="R9:S9"/>
    <mergeCell ref="B10:C10"/>
    <mergeCell ref="D10:E10"/>
    <mergeCell ref="F10:G10"/>
    <mergeCell ref="H10:I10"/>
    <mergeCell ref="J10:K10"/>
    <mergeCell ref="L10:M10"/>
    <mergeCell ref="N10:O10"/>
    <mergeCell ref="P10:Q10"/>
    <mergeCell ref="R10:S10"/>
    <mergeCell ref="B11:C11"/>
    <mergeCell ref="D11:E11"/>
    <mergeCell ref="F11:G11"/>
    <mergeCell ref="H11:I11"/>
    <mergeCell ref="J11:K11"/>
    <mergeCell ref="L11:M11"/>
    <mergeCell ref="N11:O11"/>
    <mergeCell ref="P11:Q11"/>
    <mergeCell ref="R11:S11"/>
    <mergeCell ref="B12:M12"/>
    <mergeCell ref="N12:O12"/>
    <mergeCell ref="P12:Q12"/>
    <mergeCell ref="R12:S12"/>
    <mergeCell ref="B15:C16"/>
    <mergeCell ref="D15:E16"/>
    <mergeCell ref="F15:G16"/>
    <mergeCell ref="H15:I16"/>
    <mergeCell ref="J15:K16"/>
    <mergeCell ref="L15:M16"/>
    <mergeCell ref="N15:O16"/>
    <mergeCell ref="P15:Q16"/>
    <mergeCell ref="R15:S16"/>
    <mergeCell ref="B17:C17"/>
    <mergeCell ref="D17:E17"/>
    <mergeCell ref="F17:G17"/>
    <mergeCell ref="H17:I17"/>
    <mergeCell ref="J17:K17"/>
    <mergeCell ref="L17:M17"/>
    <mergeCell ref="N17:O17"/>
    <mergeCell ref="P17:Q17"/>
    <mergeCell ref="R17:S17"/>
    <mergeCell ref="B18:C18"/>
    <mergeCell ref="D18:E18"/>
    <mergeCell ref="F18:G18"/>
    <mergeCell ref="H18:I18"/>
    <mergeCell ref="J18:K18"/>
    <mergeCell ref="L18:M18"/>
    <mergeCell ref="N18:O18"/>
    <mergeCell ref="P18:Q18"/>
    <mergeCell ref="R18:S18"/>
    <mergeCell ref="B19:C19"/>
    <mergeCell ref="D19:E19"/>
    <mergeCell ref="F19:G19"/>
    <mergeCell ref="H19:I19"/>
    <mergeCell ref="J19:K19"/>
    <mergeCell ref="L19:M19"/>
    <mergeCell ref="N19:O19"/>
    <mergeCell ref="P19:Q19"/>
    <mergeCell ref="R19:S19"/>
    <mergeCell ref="B20:C20"/>
    <mergeCell ref="D20:E20"/>
    <mergeCell ref="F20:G20"/>
    <mergeCell ref="H20:I20"/>
    <mergeCell ref="J20:K20"/>
    <mergeCell ref="L20:M20"/>
    <mergeCell ref="N20:O20"/>
    <mergeCell ref="P20:Q20"/>
    <mergeCell ref="R20:S20"/>
    <mergeCell ref="B21:C21"/>
    <mergeCell ref="D21:E21"/>
    <mergeCell ref="F21:G21"/>
    <mergeCell ref="H21:I21"/>
    <mergeCell ref="J21:K21"/>
    <mergeCell ref="L21:M21"/>
    <mergeCell ref="N21:O21"/>
    <mergeCell ref="P21:Q21"/>
    <mergeCell ref="R21:S21"/>
    <mergeCell ref="R22:S22"/>
    <mergeCell ref="N23:O23"/>
    <mergeCell ref="P23:Q23"/>
    <mergeCell ref="R23:S23"/>
    <mergeCell ref="B22:C22"/>
    <mergeCell ref="D22:E22"/>
    <mergeCell ref="F22:G22"/>
    <mergeCell ref="H22:I22"/>
    <mergeCell ref="J22:K22"/>
    <mergeCell ref="L22:M22"/>
    <mergeCell ref="N22:O22"/>
    <mergeCell ref="P22:Q22"/>
    <mergeCell ref="B23:C23"/>
    <mergeCell ref="D23:E23"/>
    <mergeCell ref="F23:G23"/>
    <mergeCell ref="H23:I23"/>
    <mergeCell ref="J23:K23"/>
    <mergeCell ref="L23:M23"/>
    <mergeCell ref="N24:O24"/>
    <mergeCell ref="P24:Q24"/>
    <mergeCell ref="R24:S24"/>
    <mergeCell ref="B25:M25"/>
    <mergeCell ref="N25:O25"/>
    <mergeCell ref="P25:Q25"/>
    <mergeCell ref="R25:S25"/>
    <mergeCell ref="B24:C24"/>
    <mergeCell ref="D24:E24"/>
    <mergeCell ref="F24:G24"/>
    <mergeCell ref="H24:I24"/>
    <mergeCell ref="J24:K24"/>
    <mergeCell ref="L24:M24"/>
    <mergeCell ref="D33:J33"/>
    <mergeCell ref="W33:Y33"/>
    <mergeCell ref="B30:C33"/>
    <mergeCell ref="D30:J30"/>
    <mergeCell ref="P30:Q30"/>
    <mergeCell ref="T30:U30"/>
    <mergeCell ref="W30:X30"/>
    <mergeCell ref="Y30:Z30"/>
    <mergeCell ref="D31:J31"/>
    <mergeCell ref="W31:Y31"/>
    <mergeCell ref="D32:J32"/>
    <mergeCell ref="W32:Y32"/>
  </mergeCells>
  <phoneticPr fontId="2"/>
  <conditionalFormatting sqref="N12:O12">
    <cfRule type="expression" dxfId="13" priority="12" stopIfTrue="1">
      <formula>$N$12=0</formula>
    </cfRule>
  </conditionalFormatting>
  <conditionalFormatting sqref="N25:O25">
    <cfRule type="expression" dxfId="12" priority="11" stopIfTrue="1">
      <formula>$N$25=0</formula>
    </cfRule>
  </conditionalFormatting>
  <conditionalFormatting sqref="P25:Q25">
    <cfRule type="expression" dxfId="11" priority="10" stopIfTrue="1">
      <formula>$P$25=0</formula>
    </cfRule>
  </conditionalFormatting>
  <conditionalFormatting sqref="R25:S25">
    <cfRule type="expression" dxfId="10" priority="9" stopIfTrue="1">
      <formula>$R$25=0</formula>
    </cfRule>
  </conditionalFormatting>
  <conditionalFormatting sqref="P12:Q12">
    <cfRule type="expression" dxfId="9" priority="8" stopIfTrue="1">
      <formula>$P$12=0</formula>
    </cfRule>
  </conditionalFormatting>
  <conditionalFormatting sqref="R12:S12">
    <cfRule type="expression" dxfId="8" priority="7" stopIfTrue="1">
      <formula>$R$12=0</formula>
    </cfRule>
  </conditionalFormatting>
  <conditionalFormatting sqref="W31:Y31">
    <cfRule type="expression" dxfId="7" priority="6" stopIfTrue="1">
      <formula>$W$31=0</formula>
    </cfRule>
  </conditionalFormatting>
  <conditionalFormatting sqref="W32:Y32">
    <cfRule type="expression" dxfId="6" priority="5" stopIfTrue="1">
      <formula>$W$32=0</formula>
    </cfRule>
  </conditionalFormatting>
  <conditionalFormatting sqref="W33:Y33">
    <cfRule type="expression" dxfId="5" priority="4" stopIfTrue="1">
      <formula>$W$33=0</formula>
    </cfRule>
  </conditionalFormatting>
  <conditionalFormatting sqref="P30:Q30">
    <cfRule type="expression" dxfId="4" priority="3" stopIfTrue="1">
      <formula>$P$30=0</formula>
    </cfRule>
  </conditionalFormatting>
  <conditionalFormatting sqref="T30:U30">
    <cfRule type="expression" dxfId="3" priority="2" stopIfTrue="1">
      <formula>$T$30=0</formula>
    </cfRule>
  </conditionalFormatting>
  <conditionalFormatting sqref="Y30:Z30">
    <cfRule type="expression" dxfId="2" priority="1" stopIfTrue="1">
      <formula>$Y$30=0</formula>
    </cfRule>
  </conditionalFormatting>
  <dataValidations count="2">
    <dataValidation type="list" allowBlank="1" showInputMessage="1" showErrorMessage="1" sqref="L7:M11">
      <formula1>"　,雨戸,ｼｬｯﾀｰ,障子"</formula1>
    </dataValidation>
    <dataValidation type="list" allowBlank="1" showInputMessage="1" showErrorMessage="1" sqref="D17:E24">
      <formula1>"屋根,天井,外気床,その他床"</formula1>
    </dataValidation>
  </dataValidations>
  <printOptions horizontalCentered="1"/>
  <pageMargins left="0.59055118110236227" right="0.39370078740157483" top="0.98425196850393704" bottom="0.78740157480314965" header="0.31496062992125984" footer="0.39370078740157483"/>
  <pageSetup paperSize="9" scale="90" orientation="portrait" horizontalDpi="300" verticalDpi="300" r:id="rId1"/>
  <headerFooter>
    <oddHeader>&amp;Rver. 1.7[H28]</oddHeader>
    <oddFooter>&amp;Cⓒ　2013 hyoukakyoukai.All right reserved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AK149"/>
  <sheetViews>
    <sheetView showGridLines="0" view="pageBreakPreview" topLeftCell="A4" zoomScaleNormal="100" zoomScaleSheetLayoutView="100" workbookViewId="0">
      <selection activeCell="R20" sqref="R20:S20"/>
    </sheetView>
  </sheetViews>
  <sheetFormatPr defaultRowHeight="13.5"/>
  <cols>
    <col min="1" max="1" width="0.75" customWidth="1"/>
    <col min="2" max="3" width="4.125" customWidth="1"/>
    <col min="4" max="29" width="3.625" customWidth="1"/>
    <col min="30" max="30" width="3.75" customWidth="1"/>
    <col min="31" max="31" width="10.375" hidden="1" customWidth="1"/>
    <col min="32" max="32" width="3.375" hidden="1" customWidth="1"/>
    <col min="33" max="33" width="14.375" hidden="1" customWidth="1"/>
    <col min="34" max="34" width="6" hidden="1" customWidth="1"/>
    <col min="35" max="35" width="13.875" hidden="1" customWidth="1"/>
    <col min="36" max="37" width="8.25" hidden="1" customWidth="1"/>
    <col min="38" max="53" width="3.625" customWidth="1"/>
  </cols>
  <sheetData>
    <row r="1" spans="2:29" ht="3.75" customHeight="1"/>
    <row r="2" spans="2:29" ht="30" customHeight="1">
      <c r="B2" s="326" t="s">
        <v>52</v>
      </c>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row>
    <row r="3" spans="2:29" s="3" customFormat="1" ht="20.100000000000001" customHeight="1"/>
    <row r="4" spans="2:29" s="3" customFormat="1" ht="20.100000000000001" customHeight="1" thickBot="1">
      <c r="B4" s="4" t="s">
        <v>160</v>
      </c>
      <c r="C4" s="2"/>
      <c r="D4" s="2"/>
      <c r="E4" s="2"/>
      <c r="F4" s="2"/>
      <c r="G4" s="2"/>
      <c r="H4" s="2"/>
      <c r="I4" s="2"/>
    </row>
    <row r="5" spans="2:29" s="3" customFormat="1" ht="20.100000000000001" customHeight="1">
      <c r="B5" s="562" t="s">
        <v>36</v>
      </c>
      <c r="C5" s="563"/>
      <c r="D5" s="567" t="s">
        <v>37</v>
      </c>
      <c r="E5" s="567"/>
      <c r="F5" s="567"/>
      <c r="G5" s="217"/>
      <c r="H5" s="572" t="s">
        <v>60</v>
      </c>
      <c r="I5" s="650"/>
    </row>
    <row r="6" spans="2:29" s="3" customFormat="1" ht="20.100000000000001" customHeight="1" thickBot="1">
      <c r="B6" s="564"/>
      <c r="C6" s="565"/>
      <c r="D6" s="568"/>
      <c r="E6" s="568"/>
      <c r="F6" s="568"/>
      <c r="G6" s="624"/>
      <c r="H6" s="573"/>
      <c r="I6" s="651"/>
    </row>
    <row r="7" spans="2:29" s="3" customFormat="1" ht="20.100000000000001" customHeight="1">
      <c r="B7" s="652" t="s">
        <v>395</v>
      </c>
      <c r="C7" s="653"/>
      <c r="D7" s="645" t="s">
        <v>393</v>
      </c>
      <c r="E7" s="645"/>
      <c r="F7" s="645"/>
      <c r="G7" s="645"/>
      <c r="H7" s="653">
        <v>2.48</v>
      </c>
      <c r="I7" s="654"/>
    </row>
    <row r="8" spans="2:29" s="3" customFormat="1" ht="20.100000000000001" customHeight="1">
      <c r="B8" s="643" t="s">
        <v>396</v>
      </c>
      <c r="C8" s="644"/>
      <c r="D8" s="645" t="s">
        <v>393</v>
      </c>
      <c r="E8" s="645"/>
      <c r="F8" s="645"/>
      <c r="G8" s="645"/>
      <c r="H8" s="644"/>
      <c r="I8" s="646"/>
    </row>
    <row r="9" spans="2:29" s="3" customFormat="1" ht="20.100000000000001" customHeight="1">
      <c r="B9" s="643" t="s">
        <v>395</v>
      </c>
      <c r="C9" s="644"/>
      <c r="D9" s="645" t="s">
        <v>394</v>
      </c>
      <c r="E9" s="645"/>
      <c r="F9" s="645"/>
      <c r="G9" s="645"/>
      <c r="H9" s="644">
        <v>3.31</v>
      </c>
      <c r="I9" s="646"/>
    </row>
    <row r="10" spans="2:29" s="3" customFormat="1" ht="20.100000000000001" customHeight="1">
      <c r="B10" s="643" t="s">
        <v>396</v>
      </c>
      <c r="C10" s="644"/>
      <c r="D10" s="645" t="s">
        <v>394</v>
      </c>
      <c r="E10" s="645"/>
      <c r="F10" s="645"/>
      <c r="G10" s="645"/>
      <c r="H10" s="644"/>
      <c r="I10" s="646"/>
    </row>
    <row r="11" spans="2:29" s="3" customFormat="1" ht="20.100000000000001" customHeight="1" thickBot="1">
      <c r="B11" s="647"/>
      <c r="C11" s="648"/>
      <c r="D11" s="648"/>
      <c r="E11" s="648"/>
      <c r="F11" s="648"/>
      <c r="G11" s="648"/>
      <c r="H11" s="648"/>
      <c r="I11" s="649"/>
    </row>
    <row r="12" spans="2:29" s="3" customFormat="1" ht="20.100000000000001" customHeight="1" thickBot="1">
      <c r="B12" s="641" t="s">
        <v>63</v>
      </c>
      <c r="C12" s="642"/>
      <c r="D12" s="642"/>
      <c r="E12" s="642"/>
      <c r="F12" s="642"/>
      <c r="G12" s="642"/>
      <c r="H12" s="532">
        <f>SUM(H7:I11)</f>
        <v>5.79</v>
      </c>
      <c r="I12" s="533"/>
    </row>
    <row r="13" spans="2:29" s="3" customFormat="1" ht="20.100000000000001" customHeight="1">
      <c r="B13" s="2" t="s">
        <v>161</v>
      </c>
      <c r="C13" s="66"/>
      <c r="D13" s="66"/>
      <c r="E13" s="66"/>
      <c r="F13" s="66"/>
      <c r="G13" s="66"/>
      <c r="H13" s="67"/>
      <c r="I13" s="67"/>
    </row>
    <row r="14" spans="2:29" s="3" customFormat="1" ht="20.100000000000001" customHeight="1">
      <c r="B14" s="2" t="s">
        <v>93</v>
      </c>
      <c r="C14" s="66"/>
      <c r="D14" s="66"/>
      <c r="E14" s="66"/>
      <c r="F14" s="66"/>
      <c r="G14" s="66"/>
      <c r="H14" s="67"/>
      <c r="I14" s="67"/>
    </row>
    <row r="15" spans="2:29" s="3" customFormat="1" ht="20.100000000000001" customHeight="1">
      <c r="B15" s="66"/>
      <c r="C15" s="66"/>
      <c r="D15" s="66"/>
      <c r="E15" s="66"/>
      <c r="F15" s="66"/>
      <c r="G15" s="66"/>
      <c r="H15" s="67"/>
      <c r="I15" s="67"/>
    </row>
    <row r="16" spans="2:29" s="3" customFormat="1" ht="20.100000000000001" customHeight="1" thickBot="1">
      <c r="B16" s="4" t="s">
        <v>162</v>
      </c>
    </row>
    <row r="17" spans="2:37" s="3" customFormat="1" ht="20.100000000000001" customHeight="1">
      <c r="B17" s="587" t="s">
        <v>36</v>
      </c>
      <c r="C17" s="567"/>
      <c r="D17" s="567" t="s">
        <v>37</v>
      </c>
      <c r="E17" s="567"/>
      <c r="F17" s="567"/>
      <c r="G17" s="567"/>
      <c r="H17" s="621" t="s">
        <v>38</v>
      </c>
      <c r="I17" s="622"/>
      <c r="J17" s="621" t="s">
        <v>39</v>
      </c>
      <c r="K17" s="622"/>
      <c r="L17" s="621" t="s">
        <v>40</v>
      </c>
      <c r="M17" s="622"/>
      <c r="N17" s="621" t="s">
        <v>41</v>
      </c>
      <c r="O17" s="622"/>
      <c r="P17" s="621" t="s">
        <v>42</v>
      </c>
      <c r="Q17" s="621"/>
      <c r="R17" s="621" t="s">
        <v>43</v>
      </c>
      <c r="S17" s="621"/>
      <c r="T17" s="621" t="s">
        <v>44</v>
      </c>
      <c r="U17" s="622"/>
      <c r="V17" s="621" t="s">
        <v>45</v>
      </c>
      <c r="W17" s="622"/>
      <c r="X17" s="621" t="s">
        <v>46</v>
      </c>
      <c r="Y17" s="622"/>
      <c r="Z17" s="621" t="s">
        <v>47</v>
      </c>
      <c r="AA17" s="622"/>
      <c r="AB17" s="567" t="s">
        <v>7</v>
      </c>
      <c r="AC17" s="578"/>
      <c r="AG17" s="635" t="s">
        <v>7</v>
      </c>
      <c r="AH17" s="635"/>
      <c r="AI17" s="635"/>
      <c r="AJ17" s="635"/>
      <c r="AK17" s="635"/>
    </row>
    <row r="18" spans="2:37" s="3" customFormat="1" ht="20.100000000000001" customHeight="1" thickBot="1">
      <c r="B18" s="588"/>
      <c r="C18" s="568"/>
      <c r="D18" s="568"/>
      <c r="E18" s="568"/>
      <c r="F18" s="568"/>
      <c r="G18" s="568"/>
      <c r="H18" s="623"/>
      <c r="I18" s="623"/>
      <c r="J18" s="623"/>
      <c r="K18" s="623"/>
      <c r="L18" s="623"/>
      <c r="M18" s="623"/>
      <c r="N18" s="623"/>
      <c r="O18" s="623"/>
      <c r="P18" s="634"/>
      <c r="Q18" s="634"/>
      <c r="R18" s="634"/>
      <c r="S18" s="634"/>
      <c r="T18" s="623"/>
      <c r="U18" s="623"/>
      <c r="V18" s="623"/>
      <c r="W18" s="623"/>
      <c r="X18" s="623"/>
      <c r="Y18" s="623"/>
      <c r="Z18" s="623"/>
      <c r="AA18" s="623"/>
      <c r="AB18" s="568"/>
      <c r="AC18" s="579"/>
      <c r="AE18" s="25" t="s">
        <v>80</v>
      </c>
      <c r="AG18" s="90" t="s">
        <v>207</v>
      </c>
      <c r="AH18" s="91" t="s">
        <v>81</v>
      </c>
      <c r="AI18" s="90" t="s">
        <v>194</v>
      </c>
      <c r="AJ18" s="90" t="s">
        <v>208</v>
      </c>
      <c r="AK18" s="90" t="s">
        <v>209</v>
      </c>
    </row>
    <row r="19" spans="2:37" s="2" customFormat="1" ht="20.100000000000001" customHeight="1">
      <c r="B19" s="636" t="str">
        <f>IF(B7="","",B7)</f>
        <v>外気側</v>
      </c>
      <c r="C19" s="637"/>
      <c r="D19" s="638" t="str">
        <f>IF(D7="","",D7)</f>
        <v>玄関土間</v>
      </c>
      <c r="E19" s="638"/>
      <c r="F19" s="638"/>
      <c r="G19" s="638"/>
      <c r="H19" s="392"/>
      <c r="I19" s="392"/>
      <c r="J19" s="392"/>
      <c r="K19" s="392"/>
      <c r="L19" s="392"/>
      <c r="M19" s="392"/>
      <c r="N19" s="392"/>
      <c r="O19" s="392"/>
      <c r="P19" s="392">
        <v>0.4</v>
      </c>
      <c r="Q19" s="392"/>
      <c r="R19" s="392">
        <v>0.05</v>
      </c>
      <c r="S19" s="392"/>
      <c r="T19" s="392"/>
      <c r="U19" s="392"/>
      <c r="V19" s="392"/>
      <c r="W19" s="392"/>
      <c r="X19" s="392"/>
      <c r="Y19" s="392"/>
      <c r="Z19" s="639" t="str">
        <f>IF(R19="","",IF(-1&lt;=R19,"(11)",IF(H19+N19&gt;=3,"(13)1","(13)2")))</f>
        <v>(11)</v>
      </c>
      <c r="AA19" s="639"/>
      <c r="AB19" s="585">
        <f>IF(R19="","",IF(IF(Z19="(11)",AG19,AI19)&lt;0.05,"0.05",IF(Z19="(11)",AG19,AI19)))</f>
        <v>1.8</v>
      </c>
      <c r="AC19" s="640"/>
      <c r="AE19" s="2">
        <f>IF(P19&gt;0.4,"0.4",P19)</f>
        <v>0.4</v>
      </c>
      <c r="AG19" s="2">
        <f>1.8-1.36*(H19*(AE19+T19)+N19*(AE19-R19))^0.15-0.01*(6.14-H19)*((J19+0.5*L19)*AH19)^0.5</f>
        <v>1.8</v>
      </c>
      <c r="AH19" s="2">
        <f>IF(MAX(V19,X19)&lt;=0.9,MAX(V19,X19),"0.9")</f>
        <v>0</v>
      </c>
      <c r="AI19" s="2">
        <f>IF((H19+N19)&gt;=3,AJ19,AK19)</f>
        <v>1.8</v>
      </c>
      <c r="AJ19" s="2">
        <f>1.8-1.47*(H19+N19)^0.08</f>
        <v>1.8</v>
      </c>
      <c r="AK19" s="2">
        <f>1.8-1.36*(H19+N19)^0.15</f>
        <v>1.8</v>
      </c>
    </row>
    <row r="20" spans="2:37" s="2" customFormat="1" ht="20.100000000000001" customHeight="1">
      <c r="B20" s="625" t="str">
        <f>IF(B8="","",B8)</f>
        <v>床下側</v>
      </c>
      <c r="C20" s="626"/>
      <c r="D20" s="627" t="str">
        <f>IF(D8="","",D8)</f>
        <v>玄関土間</v>
      </c>
      <c r="E20" s="627"/>
      <c r="F20" s="627"/>
      <c r="G20" s="627"/>
      <c r="H20" s="370"/>
      <c r="I20" s="370"/>
      <c r="J20" s="370"/>
      <c r="K20" s="370"/>
      <c r="L20" s="370"/>
      <c r="M20" s="370"/>
      <c r="N20" s="370"/>
      <c r="O20" s="370"/>
      <c r="P20" s="370">
        <v>0.4</v>
      </c>
      <c r="Q20" s="370"/>
      <c r="R20" s="370">
        <v>0.05</v>
      </c>
      <c r="S20" s="370"/>
      <c r="T20" s="370"/>
      <c r="U20" s="370"/>
      <c r="V20" s="370"/>
      <c r="W20" s="370"/>
      <c r="X20" s="370"/>
      <c r="Y20" s="370"/>
      <c r="Z20" s="629" t="str">
        <f>IF(R20="","",IF(-1&lt;=R20,"(11)",IF(H20+N20&gt;=3,"(13)1","(13)2")))</f>
        <v>(11)</v>
      </c>
      <c r="AA20" s="629"/>
      <c r="AB20" s="539">
        <f>IF(R20="","",IF(IF(Z20="(11)",AG20,AI20)&lt;0.05,"0.05",IF(Z20="(11)",AG20,AI20)))</f>
        <v>1.8</v>
      </c>
      <c r="AC20" s="540"/>
      <c r="AE20" s="2">
        <f>IF(P20&gt;0.4,"0.4",P20)</f>
        <v>0.4</v>
      </c>
      <c r="AG20" s="2">
        <f>1.8-1.36*(H20*(AE20+T20)+N20*(AE20-R20))^0.15-0.01*(6.14-H20)*((J20+0.5*L20)*AH20)^0.5</f>
        <v>1.8</v>
      </c>
      <c r="AH20" s="2">
        <f>IF(MAX(V20,X20)&lt;=0.9,MAX(V20,X20),"0.9")</f>
        <v>0</v>
      </c>
      <c r="AI20" s="2">
        <f>IF((H20+N20)&gt;=3,AJ20,AK20)</f>
        <v>1.8</v>
      </c>
      <c r="AJ20" s="2">
        <f>1.8-1.47*(H20+N20)^0.08</f>
        <v>1.8</v>
      </c>
      <c r="AK20" s="2">
        <f>1.8-1.36*(H20+N20)^0.15</f>
        <v>1.8</v>
      </c>
    </row>
    <row r="21" spans="2:37" s="2" customFormat="1" ht="20.100000000000001" customHeight="1">
      <c r="B21" s="625" t="str">
        <f>IF(B9="","",B9)</f>
        <v>外気側</v>
      </c>
      <c r="C21" s="626"/>
      <c r="D21" s="627" t="str">
        <f>IF(D9="","",D9)</f>
        <v>その他</v>
      </c>
      <c r="E21" s="627"/>
      <c r="F21" s="627"/>
      <c r="G21" s="627"/>
      <c r="H21" s="370"/>
      <c r="I21" s="370"/>
      <c r="J21" s="370"/>
      <c r="K21" s="370"/>
      <c r="L21" s="370"/>
      <c r="M21" s="370"/>
      <c r="N21" s="370">
        <v>1.7</v>
      </c>
      <c r="O21" s="370"/>
      <c r="P21" s="370">
        <v>0.4</v>
      </c>
      <c r="Q21" s="370"/>
      <c r="R21" s="370">
        <v>0.05</v>
      </c>
      <c r="S21" s="370"/>
      <c r="T21" s="370"/>
      <c r="U21" s="370"/>
      <c r="V21" s="370"/>
      <c r="W21" s="370"/>
      <c r="X21" s="370"/>
      <c r="Y21" s="370"/>
      <c r="Z21" s="629" t="str">
        <f>IF(R21="","",IF(-1&lt;=R21,"(11)",IF(H21+N21&gt;=3,"(13)1","(13)2")))</f>
        <v>(11)</v>
      </c>
      <c r="AA21" s="629"/>
      <c r="AB21" s="539">
        <f>IF(R21="","",IF(IF(Z21="(11)",AG21,AI21)&lt;0.05,"0.05",IF(Z21="(11)",AG21,AI21)))</f>
        <v>0.54189626047142592</v>
      </c>
      <c r="AC21" s="540"/>
      <c r="AE21" s="2">
        <f>IF(P21&gt;0.4,"0.4",P21)</f>
        <v>0.4</v>
      </c>
      <c r="AG21" s="2">
        <f>1.8-1.36*(H21*(AE21+T21)+N21*(AE21-R21))^0.15-0.01*(6.14-H21)*((J21+0.5*L21)*AH21)^0.5</f>
        <v>0.54189626047142592</v>
      </c>
      <c r="AH21" s="2">
        <f>IF(MAX(V21,X21)&lt;=0.9,MAX(V21,X21),"0.9")</f>
        <v>0</v>
      </c>
      <c r="AI21" s="2">
        <f>IF((H21+N21)&gt;=3,AJ21,AK21)</f>
        <v>0.32732726434740633</v>
      </c>
      <c r="AJ21" s="2">
        <f>1.8-1.47*(H21+N21)^0.08</f>
        <v>0.26625468738953417</v>
      </c>
      <c r="AK21" s="2">
        <f>1.8-1.36*(H21+N21)^0.15</f>
        <v>0.32732726434740633</v>
      </c>
    </row>
    <row r="22" spans="2:37" s="2" customFormat="1" ht="20.100000000000001" customHeight="1">
      <c r="B22" s="625" t="str">
        <f>IF(B10="","",B10)</f>
        <v>床下側</v>
      </c>
      <c r="C22" s="626"/>
      <c r="D22" s="627" t="str">
        <f>IF(D10="","",D10)</f>
        <v>その他</v>
      </c>
      <c r="E22" s="627"/>
      <c r="F22" s="627"/>
      <c r="G22" s="627"/>
      <c r="H22" s="370"/>
      <c r="I22" s="370"/>
      <c r="J22" s="370"/>
      <c r="K22" s="370"/>
      <c r="L22" s="370"/>
      <c r="M22" s="370"/>
      <c r="N22" s="370">
        <v>0.5</v>
      </c>
      <c r="O22" s="370"/>
      <c r="P22" s="370">
        <v>0.4</v>
      </c>
      <c r="Q22" s="370"/>
      <c r="R22" s="370">
        <v>0.05</v>
      </c>
      <c r="S22" s="370"/>
      <c r="T22" s="370"/>
      <c r="U22" s="370"/>
      <c r="V22" s="370"/>
      <c r="W22" s="370"/>
      <c r="X22" s="370"/>
      <c r="Y22" s="370"/>
      <c r="Z22" s="629" t="str">
        <f>IF(R22="","",IF(-1&lt;=R22,"(11)",IF(H22+N22&gt;=3,"(13)1","(13)2")))</f>
        <v>(11)</v>
      </c>
      <c r="AA22" s="629"/>
      <c r="AB22" s="539">
        <f>IF(R22="","",IF(IF(Z22="(11)",AG22,AI22)&lt;0.05,"0.05",IF(Z22="(11)",AG22,AI22)))</f>
        <v>0.75288443403298455</v>
      </c>
      <c r="AC22" s="540"/>
      <c r="AE22" s="2">
        <f>IF(P22&gt;0.4,"0.4",P22)</f>
        <v>0.4</v>
      </c>
      <c r="AG22" s="2">
        <f>1.8-1.36*(H22*(AE22+T22)+N22*(AE22-R22))^0.15-0.01*(6.14-H22)*((J22+0.5*L22)*AH22)^0.5</f>
        <v>0.75288443403298455</v>
      </c>
      <c r="AH22" s="2">
        <f>IF(MAX(V22,X22)&lt;=0.9,MAX(V22,X22),"0.9")</f>
        <v>0</v>
      </c>
      <c r="AI22" s="2">
        <f>IF((H22+N22)&gt;=3,AJ22,AK22)</f>
        <v>0.57429937084927096</v>
      </c>
      <c r="AJ22" s="2">
        <f>1.8-1.47*(H22+N22)^0.08</f>
        <v>0.40929525931337407</v>
      </c>
      <c r="AK22" s="2">
        <f>1.8-1.36*(H22+N22)^0.15</f>
        <v>0.57429937084927096</v>
      </c>
    </row>
    <row r="23" spans="2:37" s="2" customFormat="1" ht="20.100000000000001" customHeight="1" thickBot="1">
      <c r="B23" s="630" t="str">
        <f>IF(B11="","",B11)</f>
        <v/>
      </c>
      <c r="C23" s="631"/>
      <c r="D23" s="632" t="str">
        <f>IF(D11="","",D11)</f>
        <v/>
      </c>
      <c r="E23" s="632"/>
      <c r="F23" s="632"/>
      <c r="G23" s="632"/>
      <c r="H23" s="397"/>
      <c r="I23" s="397"/>
      <c r="J23" s="397"/>
      <c r="K23" s="397"/>
      <c r="L23" s="397"/>
      <c r="M23" s="397"/>
      <c r="N23" s="397"/>
      <c r="O23" s="397"/>
      <c r="P23" s="397"/>
      <c r="Q23" s="397"/>
      <c r="R23" s="397"/>
      <c r="S23" s="397"/>
      <c r="T23" s="397"/>
      <c r="U23" s="397"/>
      <c r="V23" s="397"/>
      <c r="W23" s="397"/>
      <c r="X23" s="397"/>
      <c r="Y23" s="397"/>
      <c r="Z23" s="628" t="str">
        <f>IF(R23="","",IF(-1&lt;=R23,"(11)",IF(H23+N23&gt;=3,"(13)1","(13)2")))</f>
        <v/>
      </c>
      <c r="AA23" s="628"/>
      <c r="AB23" s="582" t="str">
        <f>IF(R23="","",IF(IF(Z23="(11)",AG23,AI23)&lt;0.05,"0.05",IF(Z23="(11)",AG23,AI23)))</f>
        <v/>
      </c>
      <c r="AC23" s="633"/>
      <c r="AE23" s="2">
        <f>IF(P23&gt;0.4,"0.4",P23)</f>
        <v>0</v>
      </c>
      <c r="AG23" s="2">
        <f>1.8-1.36*(H23*(AE23+T23)+N23*(AE23-R23))^0.15-0.01*(6.14-H23)*((J23+0.5*L23)*AH23)^0.5</f>
        <v>1.8</v>
      </c>
      <c r="AH23" s="2">
        <f>IF(MAX(V23,X23)&lt;=0.9,MAX(V23,X23),"0.9")</f>
        <v>0</v>
      </c>
      <c r="AI23" s="2">
        <f>IF((H23+N23)&gt;=3,AJ23,AK23)</f>
        <v>1.8</v>
      </c>
      <c r="AJ23" s="2">
        <f>1.8-1.47*(H23+N23)^0.08</f>
        <v>1.8</v>
      </c>
      <c r="AK23" s="2">
        <f>1.8-1.36*(H23+N23)^0.15</f>
        <v>1.8</v>
      </c>
    </row>
    <row r="24" spans="2:37" s="2" customFormat="1" ht="20.100000000000001" customHeight="1">
      <c r="B24" s="2" t="s">
        <v>48</v>
      </c>
    </row>
    <row r="25" spans="2:37" s="2" customFormat="1" ht="20.100000000000001" customHeight="1">
      <c r="B25" s="2" t="s">
        <v>49</v>
      </c>
    </row>
    <row r="26" spans="2:37" s="2" customFormat="1" ht="20.100000000000001" customHeight="1"/>
    <row r="27" spans="2:37" s="2" customFormat="1" ht="20.100000000000001" customHeight="1" thickBot="1">
      <c r="B27" s="4" t="s">
        <v>163</v>
      </c>
    </row>
    <row r="28" spans="2:37" s="2" customFormat="1" ht="20.100000000000001" customHeight="1">
      <c r="B28" s="587" t="s">
        <v>36</v>
      </c>
      <c r="C28" s="567"/>
      <c r="D28" s="567" t="s">
        <v>37</v>
      </c>
      <c r="E28" s="567"/>
      <c r="F28" s="567"/>
      <c r="G28" s="567"/>
      <c r="H28" s="621" t="s">
        <v>50</v>
      </c>
      <c r="I28" s="622"/>
      <c r="J28" s="566" t="s">
        <v>51</v>
      </c>
      <c r="K28" s="217"/>
      <c r="L28" s="567" t="s">
        <v>13</v>
      </c>
      <c r="M28" s="578"/>
    </row>
    <row r="29" spans="2:37" s="2" customFormat="1" ht="20.100000000000001" customHeight="1" thickBot="1">
      <c r="B29" s="588"/>
      <c r="C29" s="568"/>
      <c r="D29" s="568"/>
      <c r="E29" s="568"/>
      <c r="F29" s="568"/>
      <c r="G29" s="568"/>
      <c r="H29" s="623"/>
      <c r="I29" s="623"/>
      <c r="J29" s="568"/>
      <c r="K29" s="624"/>
      <c r="L29" s="568"/>
      <c r="M29" s="579"/>
    </row>
    <row r="30" spans="2:37" s="2" customFormat="1" ht="20.100000000000001" customHeight="1">
      <c r="B30" s="613" t="str">
        <f>IF(B7="","",B7)</f>
        <v>外気側</v>
      </c>
      <c r="C30" s="614"/>
      <c r="D30" s="615" t="str">
        <f>IF(D7="","",D7)</f>
        <v>玄関土間</v>
      </c>
      <c r="E30" s="616"/>
      <c r="F30" s="616"/>
      <c r="G30" s="614"/>
      <c r="H30" s="617">
        <v>3.19</v>
      </c>
      <c r="I30" s="618"/>
      <c r="J30" s="619">
        <v>1</v>
      </c>
      <c r="K30" s="619"/>
      <c r="L30" s="553">
        <f>IF(H30="","",AB19*H30*J30)</f>
        <v>5.742</v>
      </c>
      <c r="M30" s="620"/>
    </row>
    <row r="31" spans="2:37" s="2" customFormat="1" ht="20.100000000000001" customHeight="1">
      <c r="B31" s="611" t="str">
        <f>IF(B8="","",B8)</f>
        <v>床下側</v>
      </c>
      <c r="C31" s="612"/>
      <c r="D31" s="597" t="str">
        <f>IF(D8="","",D8)</f>
        <v>玄関土間</v>
      </c>
      <c r="E31" s="598"/>
      <c r="F31" s="598"/>
      <c r="G31" s="596"/>
      <c r="H31" s="421">
        <v>3.19</v>
      </c>
      <c r="I31" s="423"/>
      <c r="J31" s="599">
        <v>0.7</v>
      </c>
      <c r="K31" s="599"/>
      <c r="L31" s="543">
        <f>IF(H31="","",AB20*H31*J31)</f>
        <v>4.0194000000000001</v>
      </c>
      <c r="M31" s="600"/>
    </row>
    <row r="32" spans="2:37" s="2" customFormat="1" ht="20.100000000000001" customHeight="1">
      <c r="B32" s="595" t="str">
        <f>IF(B9="","",B9)</f>
        <v>外気側</v>
      </c>
      <c r="C32" s="596"/>
      <c r="D32" s="597" t="str">
        <f>IF(D9="","",D9)</f>
        <v>その他</v>
      </c>
      <c r="E32" s="598"/>
      <c r="F32" s="598"/>
      <c r="G32" s="596"/>
      <c r="H32" s="421">
        <v>3.64</v>
      </c>
      <c r="I32" s="423"/>
      <c r="J32" s="599">
        <v>1</v>
      </c>
      <c r="K32" s="599"/>
      <c r="L32" s="543">
        <f>IF(H32="","",AB21*H32*J32)</f>
        <v>1.9725023881159904</v>
      </c>
      <c r="M32" s="600"/>
    </row>
    <row r="33" spans="2:25" s="2" customFormat="1" ht="20.100000000000001" customHeight="1">
      <c r="B33" s="595" t="str">
        <f>IF(B10="","",B10)</f>
        <v>床下側</v>
      </c>
      <c r="C33" s="596"/>
      <c r="D33" s="597" t="str">
        <f>IF(D10="","",D10)</f>
        <v>その他</v>
      </c>
      <c r="E33" s="598"/>
      <c r="F33" s="598"/>
      <c r="G33" s="596"/>
      <c r="H33" s="421">
        <v>3.64</v>
      </c>
      <c r="I33" s="423"/>
      <c r="J33" s="599">
        <v>0.7</v>
      </c>
      <c r="K33" s="599"/>
      <c r="L33" s="543">
        <f>IF(H33="","",AB22*H33*J33)</f>
        <v>1.9183495379160447</v>
      </c>
      <c r="M33" s="600"/>
    </row>
    <row r="34" spans="2:25" s="2" customFormat="1" ht="20.100000000000001" customHeight="1" thickBot="1">
      <c r="B34" s="601" t="str">
        <f>IF(B11="","",B11)</f>
        <v/>
      </c>
      <c r="C34" s="602"/>
      <c r="D34" s="603" t="str">
        <f>IF(D11="","",D11)</f>
        <v/>
      </c>
      <c r="E34" s="604"/>
      <c r="F34" s="604"/>
      <c r="G34" s="602"/>
      <c r="H34" s="605"/>
      <c r="I34" s="606"/>
      <c r="J34" s="607"/>
      <c r="K34" s="608"/>
      <c r="L34" s="609" t="str">
        <f>IF(H34="","",AB23*H34*J34)</f>
        <v/>
      </c>
      <c r="M34" s="610"/>
    </row>
    <row r="35" spans="2:25" s="2" customFormat="1" ht="20.100000000000001" customHeight="1" thickBot="1">
      <c r="B35" s="592" t="s">
        <v>90</v>
      </c>
      <c r="C35" s="593"/>
      <c r="D35" s="593"/>
      <c r="E35" s="593"/>
      <c r="F35" s="593"/>
      <c r="G35" s="593"/>
      <c r="H35" s="593"/>
      <c r="I35" s="593"/>
      <c r="J35" s="593"/>
      <c r="K35" s="593"/>
      <c r="L35" s="530">
        <f>SUM(L30:M34)</f>
        <v>13.652251926032035</v>
      </c>
      <c r="M35" s="594"/>
    </row>
    <row r="36" spans="2:25" s="2" customFormat="1" ht="20.100000000000001" customHeight="1"/>
    <row r="37" spans="2:25" s="2" customFormat="1" ht="20.100000000000001" customHeight="1"/>
    <row r="38" spans="2:25" s="3" customFormat="1" ht="20.100000000000001" customHeight="1"/>
    <row r="39" spans="2:25" s="3" customFormat="1" ht="20.100000000000001" customHeight="1">
      <c r="Y39" s="2"/>
    </row>
    <row r="40" spans="2:25" s="3" customFormat="1" ht="20.100000000000001" customHeight="1">
      <c r="Y40" s="2"/>
    </row>
    <row r="41" spans="2:25" s="3" customFormat="1" ht="20.100000000000001" customHeight="1"/>
    <row r="42" spans="2:25" s="3" customFormat="1" ht="20.100000000000001" customHeight="1"/>
    <row r="43" spans="2:25" s="3" customFormat="1" ht="20.100000000000001" customHeight="1"/>
    <row r="44" spans="2:25" s="3" customFormat="1" ht="20.100000000000001" customHeight="1"/>
    <row r="45" spans="2:25" s="3" customFormat="1" ht="20.100000000000001" customHeight="1"/>
    <row r="46" spans="2:25" s="3" customFormat="1" ht="20.100000000000001" customHeight="1"/>
    <row r="47" spans="2:25" s="3" customFormat="1" ht="20.100000000000001" customHeight="1"/>
    <row r="48" spans="2:25" s="3" customFormat="1" ht="20.100000000000001" customHeight="1"/>
    <row r="49" s="3" customFormat="1" ht="20.100000000000001" customHeight="1"/>
    <row r="50" s="3" customFormat="1" ht="20.100000000000001" customHeight="1"/>
    <row r="51" s="3" customFormat="1" ht="20.100000000000001" customHeight="1"/>
    <row r="52" s="3" customFormat="1" ht="20.100000000000001" customHeight="1"/>
    <row r="53" s="3" customFormat="1" ht="20.100000000000001" customHeight="1"/>
    <row r="54" s="3" customFormat="1" ht="20.100000000000001" customHeight="1"/>
    <row r="55" s="3" customFormat="1" ht="20.100000000000001" customHeight="1"/>
    <row r="56" s="3" customFormat="1" ht="20.100000000000001" customHeight="1"/>
    <row r="57" s="3" customFormat="1" ht="20.100000000000001" customHeight="1"/>
    <row r="58" s="3" customFormat="1" ht="20.100000000000001" customHeight="1"/>
    <row r="59" s="3" customFormat="1" ht="20.100000000000001" customHeight="1"/>
    <row r="60" s="3" customFormat="1" ht="20.100000000000001" customHeight="1"/>
    <row r="61" s="3" customFormat="1" ht="20.100000000000001" customHeight="1"/>
    <row r="62" s="3" customFormat="1" ht="20.100000000000001" customHeight="1"/>
    <row r="63" s="3" customFormat="1" ht="20.100000000000001" customHeight="1"/>
    <row r="64" s="3" customFormat="1" ht="20.100000000000001" customHeight="1"/>
    <row r="65" s="3" customFormat="1" ht="20.100000000000001" customHeight="1"/>
    <row r="66" s="3" customFormat="1" ht="20.100000000000001" customHeight="1"/>
    <row r="67" s="3" customFormat="1" ht="20.100000000000001" customHeight="1"/>
    <row r="68" s="3" customFormat="1" ht="20.100000000000001" customHeight="1"/>
    <row r="69" s="3" customFormat="1" ht="20.100000000000001" customHeight="1"/>
    <row r="70" s="3" customFormat="1" ht="20.100000000000001" customHeight="1"/>
    <row r="71" s="3" customFormat="1" ht="20.100000000000001" customHeight="1"/>
    <row r="72" s="3" customFormat="1" ht="20.100000000000001" customHeight="1"/>
    <row r="73" s="3" customFormat="1" ht="20.100000000000001" customHeight="1"/>
    <row r="74" s="3" customFormat="1" ht="20.100000000000001" customHeight="1"/>
    <row r="75" s="3" customFormat="1" ht="20.100000000000001" customHeight="1"/>
    <row r="76" s="3" customFormat="1" ht="20.100000000000001" customHeight="1"/>
    <row r="77" s="3" customFormat="1" ht="20.100000000000001" customHeight="1"/>
    <row r="78" s="3" customFormat="1" ht="20.100000000000001" customHeight="1"/>
    <row r="79" s="3" customFormat="1" ht="20.100000000000001" customHeight="1"/>
    <row r="80" s="3" customFormat="1" ht="20.100000000000001" customHeight="1"/>
    <row r="81" s="3" customFormat="1" ht="20.100000000000001" customHeight="1"/>
    <row r="82" s="3" customFormat="1" ht="20.100000000000001" customHeight="1"/>
    <row r="83" s="3" customFormat="1" ht="20.100000000000001" customHeight="1"/>
    <row r="84" s="3" customFormat="1" ht="20.100000000000001" customHeight="1"/>
    <row r="85" s="3" customFormat="1" ht="20.100000000000001" customHeight="1"/>
    <row r="86" s="3" customFormat="1" ht="20.100000000000001" customHeight="1"/>
    <row r="87" s="3" customFormat="1" ht="20.100000000000001" customHeight="1"/>
    <row r="88" s="3" customFormat="1" ht="20.100000000000001" customHeight="1"/>
    <row r="89" s="3" customFormat="1" ht="20.100000000000001" customHeight="1"/>
    <row r="90" s="3" customFormat="1" ht="20.100000000000001" customHeight="1"/>
    <row r="91" s="3" customFormat="1" ht="20.100000000000001" customHeight="1"/>
    <row r="92" s="3" customFormat="1" ht="20.100000000000001" customHeight="1"/>
    <row r="93" s="3" customFormat="1" ht="20.100000000000001" customHeight="1"/>
    <row r="94" s="3" customFormat="1" ht="20.100000000000001" customHeight="1"/>
    <row r="95" s="3" customFormat="1" ht="20.100000000000001" customHeight="1"/>
    <row r="96" s="3" customFormat="1" ht="20.100000000000001" customHeight="1"/>
    <row r="97" s="3" customFormat="1" ht="20.100000000000001" customHeight="1"/>
    <row r="98" s="3" customFormat="1" ht="20.100000000000001" customHeight="1"/>
    <row r="99" s="3" customFormat="1" ht="20.100000000000001" customHeight="1"/>
    <row r="100" s="3" customFormat="1" ht="20.100000000000001" customHeight="1"/>
    <row r="101" s="3" customFormat="1" ht="20.100000000000001" customHeight="1"/>
    <row r="102" s="3" customFormat="1" ht="20.100000000000001" customHeight="1"/>
    <row r="103" s="3" customFormat="1" ht="20.100000000000001" customHeight="1"/>
    <row r="104" s="3" customFormat="1" ht="20.100000000000001" customHeight="1"/>
    <row r="105" s="3" customFormat="1" ht="20.100000000000001" customHeight="1"/>
    <row r="106" s="3" customFormat="1" ht="20.100000000000001" customHeight="1"/>
    <row r="107" s="3" customFormat="1" ht="20.100000000000001" customHeight="1"/>
    <row r="108" s="3" customFormat="1" ht="20.100000000000001" customHeight="1"/>
    <row r="109" s="3" customFormat="1" ht="20.100000000000001" customHeight="1"/>
    <row r="110" s="3" customFormat="1" ht="20.100000000000001" customHeight="1"/>
    <row r="111" s="3" customFormat="1" ht="20.100000000000001" customHeight="1"/>
    <row r="112" s="3" customFormat="1" ht="20.100000000000001" customHeight="1"/>
    <row r="113" s="3" customFormat="1" ht="20.100000000000001" customHeight="1"/>
    <row r="114" s="3" customFormat="1" ht="20.100000000000001" customHeight="1"/>
    <row r="115" s="3" customFormat="1" ht="20.100000000000001" customHeight="1"/>
    <row r="116" s="3" customFormat="1" ht="20.100000000000001" customHeight="1"/>
    <row r="117" s="3" customFormat="1" ht="20.100000000000001" customHeight="1"/>
    <row r="118" s="3" customFormat="1" ht="20.100000000000001" customHeight="1"/>
    <row r="119" s="3" customFormat="1" ht="20.100000000000001" customHeight="1"/>
    <row r="120" s="3" customFormat="1" ht="20.100000000000001" customHeight="1"/>
    <row r="121" s="3" customFormat="1" ht="20.100000000000001" customHeight="1"/>
    <row r="122" s="3" customFormat="1" ht="20.100000000000001" customHeight="1"/>
    <row r="123" s="3" customFormat="1" ht="20.100000000000001" customHeight="1"/>
    <row r="124" s="3" customFormat="1" ht="20.100000000000001" customHeight="1"/>
    <row r="125" s="3" customFormat="1" ht="20.100000000000001" customHeight="1"/>
    <row r="126" s="3" customFormat="1" ht="20.100000000000001" customHeight="1"/>
    <row r="127" s="3" customFormat="1" ht="20.100000000000001" customHeight="1"/>
    <row r="128" s="3" customFormat="1" ht="20.100000000000001" customHeight="1"/>
    <row r="129" s="3" customFormat="1" ht="20.100000000000001" customHeight="1"/>
    <row r="130" s="3" customFormat="1" ht="20.100000000000001" customHeight="1"/>
    <row r="131" s="3" customFormat="1" ht="20.100000000000001" customHeight="1"/>
    <row r="132" s="3" customFormat="1" ht="20.100000000000001" customHeight="1"/>
    <row r="133" s="3" customFormat="1"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sheetData>
  <sheetProtection algorithmName="SHA-512" hashValue="IeO/+H/Ig+GRX8xRP848+b8j0uH6XeajF6HxA3qMqL22p8xte8w4Oe22ODrfk16wFD0IJ+nyasEhOncYp1CmAA==" saltValue="/N7OBw5mKSGUfWXVrTdDaw==" spinCount="100000" sheet="1" objects="1" scenarios="1" selectLockedCells="1"/>
  <mergeCells count="132">
    <mergeCell ref="B2:AC2"/>
    <mergeCell ref="B5:C6"/>
    <mergeCell ref="D5:G6"/>
    <mergeCell ref="H5:I6"/>
    <mergeCell ref="B7:C7"/>
    <mergeCell ref="D7:G7"/>
    <mergeCell ref="H7:I7"/>
    <mergeCell ref="B8:C8"/>
    <mergeCell ref="D8:G8"/>
    <mergeCell ref="H8:I8"/>
    <mergeCell ref="B9:C9"/>
    <mergeCell ref="D9:G9"/>
    <mergeCell ref="H9:I9"/>
    <mergeCell ref="B10:C10"/>
    <mergeCell ref="D10:G10"/>
    <mergeCell ref="H10:I10"/>
    <mergeCell ref="B11:C11"/>
    <mergeCell ref="D11:G11"/>
    <mergeCell ref="H11:I11"/>
    <mergeCell ref="B12:G12"/>
    <mergeCell ref="H12:I12"/>
    <mergeCell ref="B17:C18"/>
    <mergeCell ref="D17:G18"/>
    <mergeCell ref="H17:I18"/>
    <mergeCell ref="J17:K18"/>
    <mergeCell ref="L17:M18"/>
    <mergeCell ref="N17:O18"/>
    <mergeCell ref="P17:Q18"/>
    <mergeCell ref="R17:S18"/>
    <mergeCell ref="T17:U18"/>
    <mergeCell ref="V17:W18"/>
    <mergeCell ref="X17:Y18"/>
    <mergeCell ref="Z17:AA18"/>
    <mergeCell ref="AB17:AC18"/>
    <mergeCell ref="AG17:AK17"/>
    <mergeCell ref="B19:C19"/>
    <mergeCell ref="D19:G19"/>
    <mergeCell ref="H19:I19"/>
    <mergeCell ref="J19:K19"/>
    <mergeCell ref="L19:M19"/>
    <mergeCell ref="N19:O19"/>
    <mergeCell ref="P19:Q19"/>
    <mergeCell ref="R19:S19"/>
    <mergeCell ref="T19:U19"/>
    <mergeCell ref="V19:W19"/>
    <mergeCell ref="X19:Y19"/>
    <mergeCell ref="Z19:AA19"/>
    <mergeCell ref="AB19:AC19"/>
    <mergeCell ref="B21:C21"/>
    <mergeCell ref="D21:G21"/>
    <mergeCell ref="H21:I21"/>
    <mergeCell ref="J21:K21"/>
    <mergeCell ref="L21:M21"/>
    <mergeCell ref="N21:O21"/>
    <mergeCell ref="X21:Y21"/>
    <mergeCell ref="Z21:AA21"/>
    <mergeCell ref="V20:W20"/>
    <mergeCell ref="X20:Y20"/>
    <mergeCell ref="Z20:AA20"/>
    <mergeCell ref="B20:C20"/>
    <mergeCell ref="D20:G20"/>
    <mergeCell ref="H20:I20"/>
    <mergeCell ref="J20:K20"/>
    <mergeCell ref="L20:M20"/>
    <mergeCell ref="N20:O20"/>
    <mergeCell ref="P20:Q20"/>
    <mergeCell ref="R20:S20"/>
    <mergeCell ref="T20:U20"/>
    <mergeCell ref="AB20:AC20"/>
    <mergeCell ref="R22:S22"/>
    <mergeCell ref="T22:U22"/>
    <mergeCell ref="P21:Q21"/>
    <mergeCell ref="R21:S21"/>
    <mergeCell ref="T21:U21"/>
    <mergeCell ref="V21:W21"/>
    <mergeCell ref="L23:M23"/>
    <mergeCell ref="N23:O23"/>
    <mergeCell ref="AB21:AC21"/>
    <mergeCell ref="AB22:AC22"/>
    <mergeCell ref="AB23:AC23"/>
    <mergeCell ref="B22:C22"/>
    <mergeCell ref="D22:G22"/>
    <mergeCell ref="H22:I22"/>
    <mergeCell ref="J22:K22"/>
    <mergeCell ref="L22:M22"/>
    <mergeCell ref="N22:O22"/>
    <mergeCell ref="P22:Q22"/>
    <mergeCell ref="X23:Y23"/>
    <mergeCell ref="Z23:AA23"/>
    <mergeCell ref="V22:W22"/>
    <mergeCell ref="X22:Y22"/>
    <mergeCell ref="Z22:AA22"/>
    <mergeCell ref="R23:S23"/>
    <mergeCell ref="T23:U23"/>
    <mergeCell ref="V23:W23"/>
    <mergeCell ref="P23:Q23"/>
    <mergeCell ref="B23:C23"/>
    <mergeCell ref="D23:G23"/>
    <mergeCell ref="H23:I23"/>
    <mergeCell ref="J23:K23"/>
    <mergeCell ref="B30:C30"/>
    <mergeCell ref="D30:G30"/>
    <mergeCell ref="H30:I30"/>
    <mergeCell ref="J30:K30"/>
    <mergeCell ref="L30:M30"/>
    <mergeCell ref="B28:C29"/>
    <mergeCell ref="D28:G29"/>
    <mergeCell ref="H28:I29"/>
    <mergeCell ref="J28:K29"/>
    <mergeCell ref="L28:M29"/>
    <mergeCell ref="B31:C31"/>
    <mergeCell ref="D31:G31"/>
    <mergeCell ref="H31:I31"/>
    <mergeCell ref="J31:K31"/>
    <mergeCell ref="L31:M31"/>
    <mergeCell ref="B32:C32"/>
    <mergeCell ref="D32:G32"/>
    <mergeCell ref="H32:I32"/>
    <mergeCell ref="J32:K32"/>
    <mergeCell ref="L32:M32"/>
    <mergeCell ref="B35:K35"/>
    <mergeCell ref="L35:M35"/>
    <mergeCell ref="B33:C33"/>
    <mergeCell ref="D33:G33"/>
    <mergeCell ref="H33:I33"/>
    <mergeCell ref="J33:K33"/>
    <mergeCell ref="L33:M33"/>
    <mergeCell ref="B34:C34"/>
    <mergeCell ref="D34:G34"/>
    <mergeCell ref="H34:I34"/>
    <mergeCell ref="J34:K34"/>
    <mergeCell ref="L34:M34"/>
  </mergeCells>
  <phoneticPr fontId="2"/>
  <conditionalFormatting sqref="L35:M35">
    <cfRule type="expression" dxfId="1" priority="2" stopIfTrue="1">
      <formula>$L$35=0</formula>
    </cfRule>
  </conditionalFormatting>
  <conditionalFormatting sqref="H12:I15">
    <cfRule type="expression" dxfId="0" priority="1" stopIfTrue="1">
      <formula>$H$12=0</formula>
    </cfRule>
  </conditionalFormatting>
  <dataValidations count="2">
    <dataValidation type="list" allowBlank="1" showInputMessage="1" showErrorMessage="1" sqref="D7:G11 D19:G23">
      <formula1>"基礎断熱,玄関土間,勝手口土間,その他"</formula1>
    </dataValidation>
    <dataValidation type="list" allowBlank="1" showInputMessage="1" showErrorMessage="1" sqref="J30:K34">
      <formula1>"　,1.0,0.7"</formula1>
    </dataValidation>
  </dataValidations>
  <printOptions horizontalCentered="1"/>
  <pageMargins left="0.59055118110236227" right="0.15748031496062992" top="0.98425196850393704" bottom="0.78740157480314965" header="0.31496062992125984" footer="0.39370078740157483"/>
  <pageSetup paperSize="9" scale="90" orientation="portrait" horizontalDpi="300" verticalDpi="300" r:id="rId1"/>
  <headerFooter>
    <oddHeader>&amp;Rver. 1.7[H28]</oddHeader>
    <oddFooter>&amp;Cⓒ　2013 hyoukakyoukai.All right reserved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50"/>
  </sheetPr>
  <dimension ref="B1:F36"/>
  <sheetViews>
    <sheetView showGridLines="0" view="pageBreakPreview" zoomScaleNormal="100" zoomScaleSheetLayoutView="100" workbookViewId="0">
      <selection activeCell="J2" sqref="J2"/>
    </sheetView>
  </sheetViews>
  <sheetFormatPr defaultRowHeight="13.5"/>
  <cols>
    <col min="1" max="1" width="0.75" customWidth="1"/>
    <col min="2" max="2" width="10.5" bestFit="1" customWidth="1"/>
  </cols>
  <sheetData>
    <row r="1" spans="2:2" ht="3" customHeight="1"/>
    <row r="2" spans="2:2">
      <c r="B2" t="s">
        <v>100</v>
      </c>
    </row>
    <row r="3" spans="2:2">
      <c r="B3" s="84">
        <v>42570</v>
      </c>
    </row>
    <row r="4" spans="2:2">
      <c r="B4" t="s">
        <v>214</v>
      </c>
    </row>
    <row r="5" spans="2:2">
      <c r="B5" t="s">
        <v>101</v>
      </c>
    </row>
    <row r="6" spans="2:2">
      <c r="B6" t="s">
        <v>195</v>
      </c>
    </row>
    <row r="9" spans="2:2">
      <c r="B9" s="84">
        <v>42627</v>
      </c>
    </row>
    <row r="10" spans="2:2">
      <c r="B10" t="s">
        <v>213</v>
      </c>
    </row>
    <row r="11" spans="2:2">
      <c r="B11" t="s">
        <v>101</v>
      </c>
    </row>
    <row r="12" spans="2:2">
      <c r="B12" t="s">
        <v>196</v>
      </c>
    </row>
    <row r="14" spans="2:2">
      <c r="B14" s="84">
        <v>43341</v>
      </c>
    </row>
    <row r="15" spans="2:2">
      <c r="B15" t="s">
        <v>212</v>
      </c>
    </row>
    <row r="16" spans="2:2">
      <c r="B16" t="s">
        <v>203</v>
      </c>
    </row>
    <row r="17" spans="2:6">
      <c r="B17" t="s">
        <v>204</v>
      </c>
    </row>
    <row r="19" spans="2:6">
      <c r="B19" s="92">
        <v>43435</v>
      </c>
      <c r="C19" s="93"/>
      <c r="D19" s="93"/>
      <c r="E19" s="93"/>
      <c r="F19" s="93"/>
    </row>
    <row r="20" spans="2:6">
      <c r="B20" s="93" t="s">
        <v>211</v>
      </c>
      <c r="C20" s="93"/>
      <c r="D20" s="93"/>
      <c r="E20" s="93"/>
      <c r="F20" s="93"/>
    </row>
    <row r="21" spans="2:6">
      <c r="B21" s="93" t="s">
        <v>206</v>
      </c>
      <c r="C21" s="93"/>
      <c r="D21" s="93"/>
      <c r="E21" s="93"/>
      <c r="F21" s="93"/>
    </row>
    <row r="22" spans="2:6">
      <c r="B22" s="93" t="s">
        <v>210</v>
      </c>
      <c r="C22" s="93"/>
      <c r="D22" s="93"/>
      <c r="E22" s="93"/>
      <c r="F22" s="93"/>
    </row>
    <row r="24" spans="2:6">
      <c r="B24" s="84">
        <v>43614</v>
      </c>
    </row>
    <row r="25" spans="2:6">
      <c r="B25" s="93" t="s">
        <v>224</v>
      </c>
    </row>
    <row r="26" spans="2:6">
      <c r="B26" s="93" t="s">
        <v>217</v>
      </c>
    </row>
    <row r="27" spans="2:6">
      <c r="B27" s="93" t="s">
        <v>215</v>
      </c>
    </row>
    <row r="28" spans="2:6">
      <c r="B28" s="93" t="s">
        <v>216</v>
      </c>
    </row>
    <row r="29" spans="2:6">
      <c r="B29" s="93" t="s">
        <v>218</v>
      </c>
    </row>
    <row r="30" spans="2:6">
      <c r="B30" s="93" t="s">
        <v>219</v>
      </c>
    </row>
    <row r="31" spans="2:6">
      <c r="B31" s="93" t="s">
        <v>220</v>
      </c>
    </row>
    <row r="32" spans="2:6">
      <c r="B32" s="93" t="s">
        <v>221</v>
      </c>
    </row>
    <row r="34" spans="2:2">
      <c r="B34" s="84">
        <v>43858</v>
      </c>
    </row>
    <row r="35" spans="2:2">
      <c r="B35" s="93" t="s">
        <v>222</v>
      </c>
    </row>
    <row r="36" spans="2:2">
      <c r="B36" s="93" t="s">
        <v>223</v>
      </c>
    </row>
  </sheetData>
  <sheetProtection algorithmName="SHA-512" hashValue="F5hpKVtb/0xOWojCExSt9m8jthg1qI5sfT4gXw35P6eAMMezETsP8BC5nY4Kv3I+/0YudIW3Wvoouys7kF39dw==" saltValue="KiUnKOKcUBMvTQGpUzac/w==" spinCount="100000" sheet="1" objects="1" scenarios="1" selectLockedCells="1"/>
  <phoneticPr fontId="2"/>
  <printOptions horizontalCentered="1"/>
  <pageMargins left="0.59055118110236227" right="0.39370078740157483" top="0.98425196850393704" bottom="0.78740157480314965" header="0.31496062992125984" footer="0.39370078740157483"/>
  <pageSetup paperSize="9" scale="90" orientation="portrait" horizontalDpi="300" verticalDpi="300" r:id="rId1"/>
  <headerFooter>
    <oddHeader>&amp;Rver. 1.7[H28]</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13"/>
  <sheetViews>
    <sheetView workbookViewId="0">
      <selection activeCell="A14" sqref="A14"/>
    </sheetView>
  </sheetViews>
  <sheetFormatPr defaultRowHeight="13.5"/>
  <cols>
    <col min="1" max="1" width="10.5" bestFit="1" customWidth="1"/>
  </cols>
  <sheetData>
    <row r="1" spans="1:1">
      <c r="A1" t="s">
        <v>460</v>
      </c>
    </row>
    <row r="3" spans="1:1">
      <c r="A3" s="84">
        <v>43886</v>
      </c>
    </row>
    <row r="4" spans="1:1">
      <c r="A4" t="s">
        <v>465</v>
      </c>
    </row>
    <row r="5" spans="1:1">
      <c r="A5" t="s">
        <v>461</v>
      </c>
    </row>
    <row r="6" spans="1:1">
      <c r="A6" t="s">
        <v>462</v>
      </c>
    </row>
    <row r="7" spans="1:1">
      <c r="A7" t="s">
        <v>464</v>
      </c>
    </row>
    <row r="8" spans="1:1">
      <c r="A8" t="s">
        <v>463</v>
      </c>
    </row>
    <row r="9" spans="1:1">
      <c r="A9" t="s">
        <v>470</v>
      </c>
    </row>
    <row r="12" spans="1:1">
      <c r="A12" s="84">
        <v>44039</v>
      </c>
    </row>
    <row r="13" spans="1:1">
      <c r="A13" t="s">
        <v>476</v>
      </c>
    </row>
  </sheetData>
  <phoneticPr fontId="2"/>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topLeftCell="B13" zoomScaleNormal="100" zoomScaleSheetLayoutView="95" workbookViewId="0">
      <selection activeCell="G47" sqref="G47"/>
    </sheetView>
  </sheetViews>
  <sheetFormatPr defaultRowHeight="13.5"/>
  <cols>
    <col min="1" max="1" width="10.125" customWidth="1"/>
    <col min="2" max="2" width="31.125" bestFit="1" customWidth="1"/>
    <col min="6" max="6" width="30.25" customWidth="1"/>
    <col min="9" max="9" width="29.875" customWidth="1"/>
    <col min="12" max="12" width="31.125" customWidth="1"/>
    <col min="257" max="257" width="10.125" customWidth="1"/>
    <col min="258" max="258" width="31.125" bestFit="1" customWidth="1"/>
    <col min="513" max="513" width="10.125" customWidth="1"/>
    <col min="514" max="514" width="31.125" bestFit="1" customWidth="1"/>
    <col min="769" max="769" width="10.125" customWidth="1"/>
    <col min="770" max="770" width="31.125" bestFit="1" customWidth="1"/>
    <col min="1025" max="1025" width="10.125" customWidth="1"/>
    <col min="1026" max="1026" width="31.125" bestFit="1" customWidth="1"/>
    <col min="1281" max="1281" width="10.125" customWidth="1"/>
    <col min="1282" max="1282" width="31.125" bestFit="1" customWidth="1"/>
    <col min="1537" max="1537" width="10.125" customWidth="1"/>
    <col min="1538" max="1538" width="31.125" bestFit="1" customWidth="1"/>
    <col min="1793" max="1793" width="10.125" customWidth="1"/>
    <col min="1794" max="1794" width="31.125" bestFit="1" customWidth="1"/>
    <col min="2049" max="2049" width="10.125" customWidth="1"/>
    <col min="2050" max="2050" width="31.125" bestFit="1" customWidth="1"/>
    <col min="2305" max="2305" width="10.125" customWidth="1"/>
    <col min="2306" max="2306" width="31.125" bestFit="1" customWidth="1"/>
    <col min="2561" max="2561" width="10.125" customWidth="1"/>
    <col min="2562" max="2562" width="31.125" bestFit="1" customWidth="1"/>
    <col min="2817" max="2817" width="10.125" customWidth="1"/>
    <col min="2818" max="2818" width="31.125" bestFit="1" customWidth="1"/>
    <col min="3073" max="3073" width="10.125" customWidth="1"/>
    <col min="3074" max="3074" width="31.125" bestFit="1" customWidth="1"/>
    <col min="3329" max="3329" width="10.125" customWidth="1"/>
    <col min="3330" max="3330" width="31.125" bestFit="1" customWidth="1"/>
    <col min="3585" max="3585" width="10.125" customWidth="1"/>
    <col min="3586" max="3586" width="31.125" bestFit="1" customWidth="1"/>
    <col min="3841" max="3841" width="10.125" customWidth="1"/>
    <col min="3842" max="3842" width="31.125" bestFit="1" customWidth="1"/>
    <col min="4097" max="4097" width="10.125" customWidth="1"/>
    <col min="4098" max="4098" width="31.125" bestFit="1" customWidth="1"/>
    <col min="4353" max="4353" width="10.125" customWidth="1"/>
    <col min="4354" max="4354" width="31.125" bestFit="1" customWidth="1"/>
    <col min="4609" max="4609" width="10.125" customWidth="1"/>
    <col min="4610" max="4610" width="31.125" bestFit="1" customWidth="1"/>
    <col min="4865" max="4865" width="10.125" customWidth="1"/>
    <col min="4866" max="4866" width="31.125" bestFit="1" customWidth="1"/>
    <col min="5121" max="5121" width="10.125" customWidth="1"/>
    <col min="5122" max="5122" width="31.125" bestFit="1" customWidth="1"/>
    <col min="5377" max="5377" width="10.125" customWidth="1"/>
    <col min="5378" max="5378" width="31.125" bestFit="1" customWidth="1"/>
    <col min="5633" max="5633" width="10.125" customWidth="1"/>
    <col min="5634" max="5634" width="31.125" bestFit="1" customWidth="1"/>
    <col min="5889" max="5889" width="10.125" customWidth="1"/>
    <col min="5890" max="5890" width="31.125" bestFit="1" customWidth="1"/>
    <col min="6145" max="6145" width="10.125" customWidth="1"/>
    <col min="6146" max="6146" width="31.125" bestFit="1" customWidth="1"/>
    <col min="6401" max="6401" width="10.125" customWidth="1"/>
    <col min="6402" max="6402" width="31.125" bestFit="1" customWidth="1"/>
    <col min="6657" max="6657" width="10.125" customWidth="1"/>
    <col min="6658" max="6658" width="31.125" bestFit="1" customWidth="1"/>
    <col min="6913" max="6913" width="10.125" customWidth="1"/>
    <col min="6914" max="6914" width="31.125" bestFit="1" customWidth="1"/>
    <col min="7169" max="7169" width="10.125" customWidth="1"/>
    <col min="7170" max="7170" width="31.125" bestFit="1" customWidth="1"/>
    <col min="7425" max="7425" width="10.125" customWidth="1"/>
    <col min="7426" max="7426" width="31.125" bestFit="1" customWidth="1"/>
    <col min="7681" max="7681" width="10.125" customWidth="1"/>
    <col min="7682" max="7682" width="31.125" bestFit="1" customWidth="1"/>
    <col min="7937" max="7937" width="10.125" customWidth="1"/>
    <col min="7938" max="7938" width="31.125" bestFit="1" customWidth="1"/>
    <col min="8193" max="8193" width="10.125" customWidth="1"/>
    <col min="8194" max="8194" width="31.125" bestFit="1" customWidth="1"/>
    <col min="8449" max="8449" width="10.125" customWidth="1"/>
    <col min="8450" max="8450" width="31.125" bestFit="1" customWidth="1"/>
    <col min="8705" max="8705" width="10.125" customWidth="1"/>
    <col min="8706" max="8706" width="31.125" bestFit="1" customWidth="1"/>
    <col min="8961" max="8961" width="10.125" customWidth="1"/>
    <col min="8962" max="8962" width="31.125" bestFit="1" customWidth="1"/>
    <col min="9217" max="9217" width="10.125" customWidth="1"/>
    <col min="9218" max="9218" width="31.125" bestFit="1" customWidth="1"/>
    <col min="9473" max="9473" width="10.125" customWidth="1"/>
    <col min="9474" max="9474" width="31.125" bestFit="1" customWidth="1"/>
    <col min="9729" max="9729" width="10.125" customWidth="1"/>
    <col min="9730" max="9730" width="31.125" bestFit="1" customWidth="1"/>
    <col min="9985" max="9985" width="10.125" customWidth="1"/>
    <col min="9986" max="9986" width="31.125" bestFit="1" customWidth="1"/>
    <col min="10241" max="10241" width="10.125" customWidth="1"/>
    <col min="10242" max="10242" width="31.125" bestFit="1" customWidth="1"/>
    <col min="10497" max="10497" width="10.125" customWidth="1"/>
    <col min="10498" max="10498" width="31.125" bestFit="1" customWidth="1"/>
    <col min="10753" max="10753" width="10.125" customWidth="1"/>
    <col min="10754" max="10754" width="31.125" bestFit="1" customWidth="1"/>
    <col min="11009" max="11009" width="10.125" customWidth="1"/>
    <col min="11010" max="11010" width="31.125" bestFit="1" customWidth="1"/>
    <col min="11265" max="11265" width="10.125" customWidth="1"/>
    <col min="11266" max="11266" width="31.125" bestFit="1" customWidth="1"/>
    <col min="11521" max="11521" width="10.125" customWidth="1"/>
    <col min="11522" max="11522" width="31.125" bestFit="1" customWidth="1"/>
    <col min="11777" max="11777" width="10.125" customWidth="1"/>
    <col min="11778" max="11778" width="31.125" bestFit="1" customWidth="1"/>
    <col min="12033" max="12033" width="10.125" customWidth="1"/>
    <col min="12034" max="12034" width="31.125" bestFit="1" customWidth="1"/>
    <col min="12289" max="12289" width="10.125" customWidth="1"/>
    <col min="12290" max="12290" width="31.125" bestFit="1" customWidth="1"/>
    <col min="12545" max="12545" width="10.125" customWidth="1"/>
    <col min="12546" max="12546" width="31.125" bestFit="1" customWidth="1"/>
    <col min="12801" max="12801" width="10.125" customWidth="1"/>
    <col min="12802" max="12802" width="31.125" bestFit="1" customWidth="1"/>
    <col min="13057" max="13057" width="10.125" customWidth="1"/>
    <col min="13058" max="13058" width="31.125" bestFit="1" customWidth="1"/>
    <col min="13313" max="13313" width="10.125" customWidth="1"/>
    <col min="13314" max="13314" width="31.125" bestFit="1" customWidth="1"/>
    <col min="13569" max="13569" width="10.125" customWidth="1"/>
    <col min="13570" max="13570" width="31.125" bestFit="1" customWidth="1"/>
    <col min="13825" max="13825" width="10.125" customWidth="1"/>
    <col min="13826" max="13826" width="31.125" bestFit="1" customWidth="1"/>
    <col min="14081" max="14081" width="10.125" customWidth="1"/>
    <col min="14082" max="14082" width="31.125" bestFit="1" customWidth="1"/>
    <col min="14337" max="14337" width="10.125" customWidth="1"/>
    <col min="14338" max="14338" width="31.125" bestFit="1" customWidth="1"/>
    <col min="14593" max="14593" width="10.125" customWidth="1"/>
    <col min="14594" max="14594" width="31.125" bestFit="1" customWidth="1"/>
    <col min="14849" max="14849" width="10.125" customWidth="1"/>
    <col min="14850" max="14850" width="31.125" bestFit="1" customWidth="1"/>
    <col min="15105" max="15105" width="10.125" customWidth="1"/>
    <col min="15106" max="15106" width="31.125" bestFit="1" customWidth="1"/>
    <col min="15361" max="15361" width="10.125" customWidth="1"/>
    <col min="15362" max="15362" width="31.125" bestFit="1" customWidth="1"/>
    <col min="15617" max="15617" width="10.125" customWidth="1"/>
    <col min="15618" max="15618" width="31.125" bestFit="1" customWidth="1"/>
    <col min="15873" max="15873" width="10.125" customWidth="1"/>
    <col min="15874" max="15874" width="31.125" bestFit="1" customWidth="1"/>
    <col min="16129" max="16129" width="10.125" customWidth="1"/>
    <col min="16130" max="16130" width="31.125" bestFit="1" customWidth="1"/>
  </cols>
  <sheetData>
    <row r="1" spans="1:13">
      <c r="A1" s="132" t="s">
        <v>270</v>
      </c>
    </row>
    <row r="2" spans="1:13">
      <c r="A2" t="s">
        <v>94</v>
      </c>
    </row>
    <row r="3" spans="1:13">
      <c r="C3" s="133" t="s">
        <v>271</v>
      </c>
      <c r="D3" s="133" t="s">
        <v>272</v>
      </c>
    </row>
    <row r="4" spans="1:13">
      <c r="B4" s="134" t="s">
        <v>273</v>
      </c>
      <c r="C4" s="133">
        <v>0.46</v>
      </c>
      <c r="D4" s="135" t="s">
        <v>274</v>
      </c>
      <c r="F4" s="136" t="s">
        <v>275</v>
      </c>
    </row>
    <row r="5" spans="1:13">
      <c r="B5" s="134" t="s">
        <v>276</v>
      </c>
      <c r="C5" s="133">
        <v>0.46</v>
      </c>
      <c r="D5" s="135" t="s">
        <v>274</v>
      </c>
    </row>
    <row r="6" spans="1:13">
      <c r="B6" s="134" t="s">
        <v>277</v>
      </c>
      <c r="C6" s="133">
        <v>0.56000000000000005</v>
      </c>
      <c r="D6" s="135" t="s">
        <v>274</v>
      </c>
    </row>
    <row r="7" spans="1:13">
      <c r="B7" s="134" t="s">
        <v>278</v>
      </c>
      <c r="C7" s="133">
        <v>0.75</v>
      </c>
      <c r="D7" s="135" t="s">
        <v>274</v>
      </c>
    </row>
    <row r="8" spans="1:13">
      <c r="B8" s="134" t="s">
        <v>279</v>
      </c>
      <c r="C8" s="133">
        <v>0.87</v>
      </c>
      <c r="D8" s="135">
        <v>3</v>
      </c>
    </row>
    <row r="9" spans="1:13">
      <c r="B9" s="134" t="s">
        <v>280</v>
      </c>
      <c r="C9" s="133">
        <v>0.87</v>
      </c>
      <c r="D9" s="135">
        <v>2.8</v>
      </c>
    </row>
    <row r="10" spans="1:13">
      <c r="B10" s="134" t="s">
        <v>281</v>
      </c>
      <c r="C10" s="133">
        <v>0.87</v>
      </c>
      <c r="D10" s="135">
        <v>2.7</v>
      </c>
    </row>
    <row r="11" spans="1:13">
      <c r="B11" s="134" t="s">
        <v>282</v>
      </c>
      <c r="C11" s="133" t="s">
        <v>274</v>
      </c>
      <c r="D11" s="135">
        <v>3.2</v>
      </c>
    </row>
    <row r="14" spans="1:13">
      <c r="A14" t="s">
        <v>283</v>
      </c>
    </row>
    <row r="15" spans="1:13">
      <c r="B15" s="133" t="s">
        <v>284</v>
      </c>
      <c r="C15" s="133" t="s">
        <v>285</v>
      </c>
      <c r="F15" t="s">
        <v>443</v>
      </c>
      <c r="I15" t="s">
        <v>446</v>
      </c>
      <c r="L15" t="s">
        <v>447</v>
      </c>
    </row>
    <row r="16" spans="1:13">
      <c r="A16" s="655" t="s">
        <v>286</v>
      </c>
      <c r="B16" s="137"/>
      <c r="C16" s="138"/>
      <c r="D16" t="s">
        <v>287</v>
      </c>
      <c r="F16" s="138"/>
      <c r="G16" s="138"/>
      <c r="I16" s="138"/>
      <c r="J16" s="138"/>
      <c r="L16" s="138"/>
      <c r="M16" s="138"/>
    </row>
    <row r="17" spans="1:13">
      <c r="A17" s="656"/>
      <c r="B17" s="139" t="s">
        <v>288</v>
      </c>
      <c r="C17" s="140">
        <v>4.2999999999999997E-2</v>
      </c>
      <c r="F17" s="150" t="s">
        <v>288</v>
      </c>
      <c r="G17" s="140">
        <v>4.2999999999999997E-2</v>
      </c>
      <c r="I17" s="150" t="s">
        <v>288</v>
      </c>
      <c r="J17" s="140">
        <v>4.2999999999999997E-2</v>
      </c>
      <c r="L17" s="151" t="s">
        <v>294</v>
      </c>
      <c r="M17" s="142">
        <v>3.7999999999999999E-2</v>
      </c>
    </row>
    <row r="18" spans="1:13">
      <c r="A18" s="656"/>
      <c r="B18" s="141" t="s">
        <v>289</v>
      </c>
      <c r="C18" s="142">
        <v>4.2999999999999997E-2</v>
      </c>
      <c r="F18" s="151" t="s">
        <v>289</v>
      </c>
      <c r="G18" s="142">
        <v>4.2999999999999997E-2</v>
      </c>
      <c r="I18" s="151" t="s">
        <v>289</v>
      </c>
      <c r="J18" s="142">
        <v>4.2999999999999997E-2</v>
      </c>
      <c r="L18" s="151" t="s">
        <v>295</v>
      </c>
      <c r="M18" s="142">
        <v>3.5999999999999997E-2</v>
      </c>
    </row>
    <row r="19" spans="1:13">
      <c r="A19" s="656"/>
      <c r="B19" s="141" t="s">
        <v>402</v>
      </c>
      <c r="C19" s="142">
        <v>3.7999999999999999E-2</v>
      </c>
      <c r="F19" s="151" t="s">
        <v>402</v>
      </c>
      <c r="G19" s="142">
        <v>3.7999999999999999E-2</v>
      </c>
      <c r="H19" s="24"/>
      <c r="I19" s="151" t="s">
        <v>402</v>
      </c>
      <c r="J19" s="142">
        <v>3.7999999999999999E-2</v>
      </c>
      <c r="K19" s="24"/>
      <c r="L19" s="151" t="s">
        <v>296</v>
      </c>
      <c r="M19" s="142">
        <v>3.5999999999999997E-2</v>
      </c>
    </row>
    <row r="20" spans="1:13">
      <c r="A20" s="656"/>
      <c r="B20" s="141" t="s">
        <v>290</v>
      </c>
      <c r="C20" s="142">
        <v>3.7999999999999999E-2</v>
      </c>
      <c r="E20" s="24"/>
      <c r="F20" s="151" t="s">
        <v>291</v>
      </c>
      <c r="G20" s="142">
        <v>3.5999999999999997E-2</v>
      </c>
      <c r="H20" s="24"/>
      <c r="I20" s="151" t="s">
        <v>292</v>
      </c>
      <c r="J20" s="142">
        <v>3.4000000000000002E-2</v>
      </c>
      <c r="K20" s="24"/>
      <c r="L20" s="151" t="s">
        <v>297</v>
      </c>
      <c r="M20" s="142">
        <v>3.5000000000000003E-2</v>
      </c>
    </row>
    <row r="21" spans="1:13">
      <c r="A21" s="656"/>
      <c r="B21" s="141" t="s">
        <v>291</v>
      </c>
      <c r="C21" s="142">
        <v>3.5999999999999997E-2</v>
      </c>
      <c r="E21" s="143"/>
      <c r="F21" s="151" t="s">
        <v>292</v>
      </c>
      <c r="G21" s="142">
        <v>3.4000000000000002E-2</v>
      </c>
      <c r="H21" s="24"/>
      <c r="I21" s="151" t="s">
        <v>293</v>
      </c>
      <c r="J21" s="142">
        <v>3.7999999999999999E-2</v>
      </c>
      <c r="K21" s="24"/>
      <c r="L21" s="151" t="s">
        <v>399</v>
      </c>
      <c r="M21" s="142">
        <v>0.04</v>
      </c>
    </row>
    <row r="22" spans="1:13">
      <c r="A22" s="656"/>
      <c r="B22" s="141" t="s">
        <v>292</v>
      </c>
      <c r="C22" s="142">
        <v>3.4000000000000002E-2</v>
      </c>
      <c r="E22" s="143"/>
      <c r="F22" s="151" t="s">
        <v>293</v>
      </c>
      <c r="G22" s="142">
        <v>3.7999999999999999E-2</v>
      </c>
      <c r="H22" s="24"/>
      <c r="I22" s="151" t="s">
        <v>294</v>
      </c>
      <c r="J22" s="142">
        <v>3.7999999999999999E-2</v>
      </c>
      <c r="K22" s="24"/>
      <c r="L22" s="151" t="s">
        <v>401</v>
      </c>
      <c r="M22" s="144">
        <v>3.7999999999999999E-2</v>
      </c>
    </row>
    <row r="23" spans="1:13">
      <c r="A23" s="656"/>
      <c r="B23" s="141" t="s">
        <v>293</v>
      </c>
      <c r="C23" s="142">
        <v>3.7999999999999999E-2</v>
      </c>
      <c r="E23" s="24"/>
      <c r="F23" s="151" t="s">
        <v>294</v>
      </c>
      <c r="G23" s="142">
        <v>3.7999999999999999E-2</v>
      </c>
      <c r="H23" s="24"/>
      <c r="I23" s="151" t="s">
        <v>295</v>
      </c>
      <c r="J23" s="142">
        <v>3.5999999999999997E-2</v>
      </c>
      <c r="K23" s="24"/>
      <c r="L23" s="152" t="s">
        <v>299</v>
      </c>
      <c r="M23" s="144">
        <v>3.4000000000000002E-2</v>
      </c>
    </row>
    <row r="24" spans="1:13">
      <c r="A24" s="656"/>
      <c r="B24" s="141" t="s">
        <v>294</v>
      </c>
      <c r="C24" s="142">
        <v>3.7999999999999999E-2</v>
      </c>
      <c r="E24" s="143"/>
      <c r="F24" s="151" t="s">
        <v>295</v>
      </c>
      <c r="G24" s="142">
        <v>3.5999999999999997E-2</v>
      </c>
      <c r="H24" s="24"/>
      <c r="I24" s="151" t="s">
        <v>399</v>
      </c>
      <c r="J24" s="142">
        <v>0.04</v>
      </c>
      <c r="K24" s="24"/>
      <c r="L24" s="152" t="s">
        <v>300</v>
      </c>
      <c r="M24" s="144">
        <v>3.4000000000000002E-2</v>
      </c>
    </row>
    <row r="25" spans="1:13">
      <c r="A25" s="656"/>
      <c r="B25" s="141" t="s">
        <v>295</v>
      </c>
      <c r="C25" s="142">
        <v>3.5999999999999997E-2</v>
      </c>
      <c r="E25" s="24"/>
      <c r="F25" s="151" t="s">
        <v>399</v>
      </c>
      <c r="G25" s="142">
        <v>0.04</v>
      </c>
      <c r="H25" s="24"/>
      <c r="I25" s="151" t="s">
        <v>401</v>
      </c>
      <c r="J25" s="144">
        <v>3.7999999999999999E-2</v>
      </c>
      <c r="K25" s="24"/>
      <c r="L25" s="151" t="s">
        <v>301</v>
      </c>
      <c r="M25" s="142">
        <v>3.2000000000000001E-2</v>
      </c>
    </row>
    <row r="26" spans="1:13">
      <c r="A26" s="656"/>
      <c r="B26" s="141" t="s">
        <v>296</v>
      </c>
      <c r="C26" s="142">
        <v>3.5999999999999997E-2</v>
      </c>
      <c r="F26" s="151" t="s">
        <v>401</v>
      </c>
      <c r="G26" s="144">
        <v>3.7999999999999999E-2</v>
      </c>
      <c r="I26" s="151" t="s">
        <v>298</v>
      </c>
      <c r="J26" s="144">
        <v>3.4000000000000002E-2</v>
      </c>
      <c r="L26" s="151" t="s">
        <v>302</v>
      </c>
      <c r="M26" s="142">
        <v>3.2000000000000001E-2</v>
      </c>
    </row>
    <row r="27" spans="1:13">
      <c r="A27" s="656"/>
      <c r="B27" s="141" t="s">
        <v>297</v>
      </c>
      <c r="C27" s="142">
        <v>3.5000000000000003E-2</v>
      </c>
      <c r="F27" s="151" t="s">
        <v>298</v>
      </c>
      <c r="G27" s="144">
        <v>3.4000000000000002E-2</v>
      </c>
      <c r="I27" s="152" t="s">
        <v>299</v>
      </c>
      <c r="J27" s="144">
        <v>3.4000000000000002E-2</v>
      </c>
      <c r="L27" s="151" t="s">
        <v>466</v>
      </c>
      <c r="M27" s="142">
        <v>0.05</v>
      </c>
    </row>
    <row r="28" spans="1:13">
      <c r="A28" s="656"/>
      <c r="B28" s="141" t="s">
        <v>400</v>
      </c>
      <c r="C28" s="142">
        <v>5.1999999999999998E-2</v>
      </c>
      <c r="F28" s="152" t="s">
        <v>299</v>
      </c>
      <c r="G28" s="144">
        <v>3.4000000000000002E-2</v>
      </c>
      <c r="I28" s="152" t="s">
        <v>300</v>
      </c>
      <c r="J28" s="144">
        <v>3.4000000000000002E-2</v>
      </c>
      <c r="L28" s="152" t="s">
        <v>468</v>
      </c>
      <c r="M28" s="144">
        <v>3.7999999999999999E-2</v>
      </c>
    </row>
    <row r="29" spans="1:13">
      <c r="A29" s="656"/>
      <c r="B29" s="141" t="s">
        <v>399</v>
      </c>
      <c r="C29" s="142">
        <v>0.04</v>
      </c>
      <c r="F29" s="152" t="s">
        <v>300</v>
      </c>
      <c r="G29" s="144">
        <v>3.4000000000000002E-2</v>
      </c>
      <c r="I29" s="151" t="s">
        <v>301</v>
      </c>
      <c r="J29" s="142">
        <v>3.2000000000000001E-2</v>
      </c>
      <c r="L29" s="152" t="s">
        <v>469</v>
      </c>
      <c r="M29" s="144">
        <v>3.7999999999999999E-2</v>
      </c>
    </row>
    <row r="30" spans="1:13">
      <c r="A30" s="656"/>
      <c r="B30" s="141" t="s">
        <v>401</v>
      </c>
      <c r="C30" s="144">
        <v>3.7999999999999999E-2</v>
      </c>
      <c r="F30" s="151" t="s">
        <v>301</v>
      </c>
      <c r="G30" s="142">
        <v>3.2000000000000001E-2</v>
      </c>
      <c r="I30" s="152" t="s">
        <v>444</v>
      </c>
      <c r="J30" s="144">
        <v>3.5000000000000003E-2</v>
      </c>
      <c r="L30" s="152" t="s">
        <v>303</v>
      </c>
      <c r="M30" s="144">
        <v>2.1000000000000001E-2</v>
      </c>
    </row>
    <row r="31" spans="1:13">
      <c r="A31" s="656"/>
      <c r="B31" s="141" t="s">
        <v>298</v>
      </c>
      <c r="C31" s="144">
        <v>3.4000000000000002E-2</v>
      </c>
      <c r="F31" s="152" t="s">
        <v>444</v>
      </c>
      <c r="G31" s="144">
        <v>3.5000000000000003E-2</v>
      </c>
      <c r="I31" s="151" t="s">
        <v>466</v>
      </c>
      <c r="J31" s="142">
        <v>0.05</v>
      </c>
      <c r="L31" s="154" t="s">
        <v>304</v>
      </c>
      <c r="M31" s="147">
        <v>2.8000000000000001E-2</v>
      </c>
    </row>
    <row r="32" spans="1:13">
      <c r="A32" s="656"/>
      <c r="B32" s="145" t="s">
        <v>299</v>
      </c>
      <c r="C32" s="144">
        <v>3.4000000000000002E-2</v>
      </c>
      <c r="F32" s="151" t="s">
        <v>466</v>
      </c>
      <c r="G32" s="142">
        <v>0.05</v>
      </c>
      <c r="I32" s="152" t="s">
        <v>468</v>
      </c>
      <c r="J32" s="144">
        <v>3.7999999999999999E-2</v>
      </c>
    </row>
    <row r="33" spans="1:10">
      <c r="A33" s="656"/>
      <c r="B33" s="145" t="s">
        <v>300</v>
      </c>
      <c r="C33" s="144">
        <v>3.4000000000000002E-2</v>
      </c>
      <c r="F33" s="152" t="s">
        <v>468</v>
      </c>
      <c r="G33" s="144">
        <v>3.7999999999999999E-2</v>
      </c>
      <c r="I33" s="152" t="s">
        <v>469</v>
      </c>
      <c r="J33" s="144">
        <v>3.7999999999999999E-2</v>
      </c>
    </row>
    <row r="34" spans="1:10">
      <c r="A34" s="656"/>
      <c r="B34" s="141" t="s">
        <v>301</v>
      </c>
      <c r="C34" s="142">
        <v>3.2000000000000001E-2</v>
      </c>
      <c r="F34" s="152" t="s">
        <v>469</v>
      </c>
      <c r="G34" s="144">
        <v>3.7999999999999999E-2</v>
      </c>
      <c r="I34" s="154" t="s">
        <v>303</v>
      </c>
      <c r="J34" s="147">
        <v>2.1000000000000001E-2</v>
      </c>
    </row>
    <row r="35" spans="1:10">
      <c r="A35" s="656"/>
      <c r="B35" s="141" t="s">
        <v>302</v>
      </c>
      <c r="C35" s="142">
        <v>3.2000000000000001E-2</v>
      </c>
      <c r="F35" s="154" t="s">
        <v>303</v>
      </c>
      <c r="G35" s="147">
        <v>2.1000000000000001E-2</v>
      </c>
    </row>
    <row r="36" spans="1:10">
      <c r="A36" s="656"/>
      <c r="B36" s="145" t="s">
        <v>445</v>
      </c>
      <c r="C36" s="144">
        <v>3.5000000000000003E-2</v>
      </c>
    </row>
    <row r="37" spans="1:10" ht="13.5" customHeight="1">
      <c r="A37" s="656"/>
      <c r="B37" s="145" t="s">
        <v>303</v>
      </c>
      <c r="C37" s="144">
        <v>2.1000000000000001E-2</v>
      </c>
      <c r="F37" t="s">
        <v>459</v>
      </c>
    </row>
    <row r="38" spans="1:10" ht="13.5" customHeight="1">
      <c r="A38" s="657"/>
      <c r="B38" s="145" t="s">
        <v>467</v>
      </c>
      <c r="C38" s="144">
        <v>0.05</v>
      </c>
      <c r="F38" s="133" t="s">
        <v>284</v>
      </c>
      <c r="G38" s="133" t="s">
        <v>285</v>
      </c>
    </row>
    <row r="39" spans="1:10" ht="13.5" customHeight="1">
      <c r="A39" s="658" t="s">
        <v>305</v>
      </c>
      <c r="B39" s="145" t="s">
        <v>468</v>
      </c>
      <c r="C39" s="144">
        <v>3.7999999999999999E-2</v>
      </c>
      <c r="F39" s="138"/>
      <c r="G39" s="138"/>
    </row>
    <row r="40" spans="1:10">
      <c r="A40" s="659"/>
      <c r="B40" s="145" t="s">
        <v>469</v>
      </c>
      <c r="C40" s="144">
        <v>3.7999999999999999E-2</v>
      </c>
      <c r="F40" s="150" t="s">
        <v>288</v>
      </c>
      <c r="G40" s="140">
        <v>4.2999999999999997E-2</v>
      </c>
    </row>
    <row r="41" spans="1:10">
      <c r="A41" s="659"/>
      <c r="B41" s="146" t="s">
        <v>304</v>
      </c>
      <c r="C41" s="147">
        <v>2.8000000000000001E-2</v>
      </c>
      <c r="F41" s="151" t="s">
        <v>289</v>
      </c>
      <c r="G41" s="142">
        <v>4.2999999999999997E-2</v>
      </c>
    </row>
    <row r="42" spans="1:10">
      <c r="A42" s="659"/>
      <c r="B42" s="148"/>
      <c r="C42" s="149"/>
      <c r="F42" s="151" t="s">
        <v>402</v>
      </c>
      <c r="G42" s="142">
        <v>3.7999999999999999E-2</v>
      </c>
    </row>
    <row r="43" spans="1:10">
      <c r="A43" s="153"/>
      <c r="B43" s="150" t="s">
        <v>306</v>
      </c>
      <c r="C43" s="140">
        <v>0.22</v>
      </c>
      <c r="F43" s="151" t="s">
        <v>290</v>
      </c>
      <c r="G43" s="142">
        <v>3.7999999999999999E-2</v>
      </c>
    </row>
    <row r="44" spans="1:10">
      <c r="A44" s="655" t="s">
        <v>310</v>
      </c>
      <c r="B44" s="151" t="s">
        <v>307</v>
      </c>
      <c r="C44" s="142">
        <v>0.16</v>
      </c>
      <c r="F44" s="151" t="s">
        <v>292</v>
      </c>
      <c r="G44" s="142">
        <v>3.4000000000000002E-2</v>
      </c>
    </row>
    <row r="45" spans="1:10">
      <c r="A45" s="656"/>
      <c r="B45" s="152" t="s">
        <v>308</v>
      </c>
      <c r="C45" s="144">
        <v>0.16</v>
      </c>
      <c r="F45" s="151" t="s">
        <v>477</v>
      </c>
      <c r="G45" s="142">
        <v>3.5000000000000003E-2</v>
      </c>
    </row>
    <row r="46" spans="1:10">
      <c r="A46" s="657"/>
      <c r="B46" s="154" t="s">
        <v>309</v>
      </c>
      <c r="C46" s="147">
        <v>0.15</v>
      </c>
      <c r="F46" s="151" t="s">
        <v>293</v>
      </c>
      <c r="G46" s="142">
        <v>3.7999999999999999E-2</v>
      </c>
    </row>
    <row r="47" spans="1:10">
      <c r="A47" s="655" t="s">
        <v>312</v>
      </c>
      <c r="B47" s="148" t="s">
        <v>311</v>
      </c>
      <c r="C47" s="149">
        <v>0.12</v>
      </c>
      <c r="F47" s="151" t="s">
        <v>294</v>
      </c>
      <c r="G47" s="142">
        <v>3.7999999999999999E-2</v>
      </c>
    </row>
    <row r="48" spans="1:10">
      <c r="A48" s="656"/>
      <c r="B48" s="154"/>
      <c r="C48" s="147"/>
      <c r="F48" s="151" t="s">
        <v>295</v>
      </c>
      <c r="G48" s="142">
        <v>3.5999999999999997E-2</v>
      </c>
    </row>
    <row r="49" spans="1:7">
      <c r="A49" s="656"/>
      <c r="B49" s="148"/>
      <c r="C49" s="149"/>
      <c r="F49" s="151" t="s">
        <v>400</v>
      </c>
      <c r="G49" s="142">
        <v>5.1999999999999998E-2</v>
      </c>
    </row>
    <row r="50" spans="1:7">
      <c r="A50" s="656"/>
      <c r="B50" s="150" t="s">
        <v>306</v>
      </c>
      <c r="C50" s="140">
        <v>0.22</v>
      </c>
      <c r="F50" s="151" t="s">
        <v>298</v>
      </c>
      <c r="G50" s="144">
        <v>3.4000000000000002E-2</v>
      </c>
    </row>
    <row r="51" spans="1:7">
      <c r="A51" s="657"/>
      <c r="B51" s="151" t="s">
        <v>307</v>
      </c>
      <c r="C51" s="142">
        <v>0.16</v>
      </c>
      <c r="F51" s="152" t="s">
        <v>299</v>
      </c>
      <c r="G51" s="144">
        <v>3.4000000000000002E-2</v>
      </c>
    </row>
    <row r="52" spans="1:7">
      <c r="A52" s="98" t="s">
        <v>316</v>
      </c>
      <c r="B52" s="151" t="s">
        <v>313</v>
      </c>
      <c r="C52" s="142">
        <v>0.16</v>
      </c>
      <c r="F52" s="152" t="s">
        <v>300</v>
      </c>
      <c r="G52" s="144">
        <v>3.4000000000000002E-2</v>
      </c>
    </row>
    <row r="53" spans="1:7">
      <c r="B53" s="151" t="s">
        <v>314</v>
      </c>
      <c r="C53" s="142">
        <v>0.13</v>
      </c>
      <c r="F53" s="151" t="s">
        <v>301</v>
      </c>
      <c r="G53" s="142">
        <v>3.2000000000000001E-2</v>
      </c>
    </row>
    <row r="54" spans="1:7">
      <c r="B54" s="154" t="s">
        <v>315</v>
      </c>
      <c r="C54" s="147">
        <v>0.15</v>
      </c>
      <c r="F54" s="151" t="s">
        <v>466</v>
      </c>
      <c r="G54" s="142">
        <v>0.05</v>
      </c>
    </row>
    <row r="55" spans="1:7">
      <c r="B55" s="134" t="s">
        <v>317</v>
      </c>
      <c r="C55" s="155">
        <v>1.6</v>
      </c>
      <c r="F55" s="152" t="s">
        <v>468</v>
      </c>
      <c r="G55" s="144">
        <v>3.7999999999999999E-2</v>
      </c>
    </row>
    <row r="56" spans="1:7">
      <c r="F56" s="154" t="s">
        <v>469</v>
      </c>
      <c r="G56" s="147">
        <v>3.7999999999999999E-2</v>
      </c>
    </row>
  </sheetData>
  <mergeCells count="4">
    <mergeCell ref="A16:A38"/>
    <mergeCell ref="A39:A42"/>
    <mergeCell ref="A44:A46"/>
    <mergeCell ref="A47:A51"/>
  </mergeCells>
  <phoneticPr fontId="2"/>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view="pageBreakPreview" zoomScaleNormal="93" zoomScaleSheetLayoutView="100" workbookViewId="0">
      <selection activeCell="F37" sqref="F37"/>
    </sheetView>
  </sheetViews>
  <sheetFormatPr defaultRowHeight="13.5"/>
  <cols>
    <col min="1" max="1" width="5.625" customWidth="1"/>
    <col min="2" max="2" width="42.25" customWidth="1"/>
    <col min="3" max="3" width="36" customWidth="1"/>
    <col min="4" max="4" width="9.75" customWidth="1"/>
    <col min="5" max="5" width="1" customWidth="1"/>
    <col min="6" max="6" width="3.875" customWidth="1"/>
    <col min="7" max="7" width="9.875" customWidth="1"/>
    <col min="8" max="8" width="27.875" customWidth="1"/>
    <col min="9" max="9" width="19.75" customWidth="1"/>
    <col min="12" max="12" width="11.5" customWidth="1"/>
    <col min="257" max="257" width="5.625" customWidth="1"/>
    <col min="258" max="258" width="42.25" customWidth="1"/>
    <col min="259" max="259" width="36" customWidth="1"/>
    <col min="260" max="260" width="9.75" customWidth="1"/>
    <col min="261" max="261" width="1" customWidth="1"/>
    <col min="262" max="262" width="3.875" customWidth="1"/>
    <col min="263" max="263" width="9.875" customWidth="1"/>
    <col min="264" max="264" width="27.875" customWidth="1"/>
    <col min="265" max="265" width="19.75" customWidth="1"/>
    <col min="513" max="513" width="5.625" customWidth="1"/>
    <col min="514" max="514" width="42.25" customWidth="1"/>
    <col min="515" max="515" width="36" customWidth="1"/>
    <col min="516" max="516" width="9.75" customWidth="1"/>
    <col min="517" max="517" width="1" customWidth="1"/>
    <col min="518" max="518" width="3.875" customWidth="1"/>
    <col min="519" max="519" width="9.875" customWidth="1"/>
    <col min="520" max="520" width="27.875" customWidth="1"/>
    <col min="521" max="521" width="19.75" customWidth="1"/>
    <col min="769" max="769" width="5.625" customWidth="1"/>
    <col min="770" max="770" width="42.25" customWidth="1"/>
    <col min="771" max="771" width="36" customWidth="1"/>
    <col min="772" max="772" width="9.75" customWidth="1"/>
    <col min="773" max="773" width="1" customWidth="1"/>
    <col min="774" max="774" width="3.875" customWidth="1"/>
    <col min="775" max="775" width="9.875" customWidth="1"/>
    <col min="776" max="776" width="27.875" customWidth="1"/>
    <col min="777" max="777" width="19.75" customWidth="1"/>
    <col min="1025" max="1025" width="5.625" customWidth="1"/>
    <col min="1026" max="1026" width="42.25" customWidth="1"/>
    <col min="1027" max="1027" width="36" customWidth="1"/>
    <col min="1028" max="1028" width="9.75" customWidth="1"/>
    <col min="1029" max="1029" width="1" customWidth="1"/>
    <col min="1030" max="1030" width="3.875" customWidth="1"/>
    <col min="1031" max="1031" width="9.875" customWidth="1"/>
    <col min="1032" max="1032" width="27.875" customWidth="1"/>
    <col min="1033" max="1033" width="19.75" customWidth="1"/>
    <col min="1281" max="1281" width="5.625" customWidth="1"/>
    <col min="1282" max="1282" width="42.25" customWidth="1"/>
    <col min="1283" max="1283" width="36" customWidth="1"/>
    <col min="1284" max="1284" width="9.75" customWidth="1"/>
    <col min="1285" max="1285" width="1" customWidth="1"/>
    <col min="1286" max="1286" width="3.875" customWidth="1"/>
    <col min="1287" max="1287" width="9.875" customWidth="1"/>
    <col min="1288" max="1288" width="27.875" customWidth="1"/>
    <col min="1289" max="1289" width="19.75" customWidth="1"/>
    <col min="1537" max="1537" width="5.625" customWidth="1"/>
    <col min="1538" max="1538" width="42.25" customWidth="1"/>
    <col min="1539" max="1539" width="36" customWidth="1"/>
    <col min="1540" max="1540" width="9.75" customWidth="1"/>
    <col min="1541" max="1541" width="1" customWidth="1"/>
    <col min="1542" max="1542" width="3.875" customWidth="1"/>
    <col min="1543" max="1543" width="9.875" customWidth="1"/>
    <col min="1544" max="1544" width="27.875" customWidth="1"/>
    <col min="1545" max="1545" width="19.75" customWidth="1"/>
    <col min="1793" max="1793" width="5.625" customWidth="1"/>
    <col min="1794" max="1794" width="42.25" customWidth="1"/>
    <col min="1795" max="1795" width="36" customWidth="1"/>
    <col min="1796" max="1796" width="9.75" customWidth="1"/>
    <col min="1797" max="1797" width="1" customWidth="1"/>
    <col min="1798" max="1798" width="3.875" customWidth="1"/>
    <col min="1799" max="1799" width="9.875" customWidth="1"/>
    <col min="1800" max="1800" width="27.875" customWidth="1"/>
    <col min="1801" max="1801" width="19.75" customWidth="1"/>
    <col min="2049" max="2049" width="5.625" customWidth="1"/>
    <col min="2050" max="2050" width="42.25" customWidth="1"/>
    <col min="2051" max="2051" width="36" customWidth="1"/>
    <col min="2052" max="2052" width="9.75" customWidth="1"/>
    <col min="2053" max="2053" width="1" customWidth="1"/>
    <col min="2054" max="2054" width="3.875" customWidth="1"/>
    <col min="2055" max="2055" width="9.875" customWidth="1"/>
    <col min="2056" max="2056" width="27.875" customWidth="1"/>
    <col min="2057" max="2057" width="19.75" customWidth="1"/>
    <col min="2305" max="2305" width="5.625" customWidth="1"/>
    <col min="2306" max="2306" width="42.25" customWidth="1"/>
    <col min="2307" max="2307" width="36" customWidth="1"/>
    <col min="2308" max="2308" width="9.75" customWidth="1"/>
    <col min="2309" max="2309" width="1" customWidth="1"/>
    <col min="2310" max="2310" width="3.875" customWidth="1"/>
    <col min="2311" max="2311" width="9.875" customWidth="1"/>
    <col min="2312" max="2312" width="27.875" customWidth="1"/>
    <col min="2313" max="2313" width="19.75" customWidth="1"/>
    <col min="2561" max="2561" width="5.625" customWidth="1"/>
    <col min="2562" max="2562" width="42.25" customWidth="1"/>
    <col min="2563" max="2563" width="36" customWidth="1"/>
    <col min="2564" max="2564" width="9.75" customWidth="1"/>
    <col min="2565" max="2565" width="1" customWidth="1"/>
    <col min="2566" max="2566" width="3.875" customWidth="1"/>
    <col min="2567" max="2567" width="9.875" customWidth="1"/>
    <col min="2568" max="2568" width="27.875" customWidth="1"/>
    <col min="2569" max="2569" width="19.75" customWidth="1"/>
    <col min="2817" max="2817" width="5.625" customWidth="1"/>
    <col min="2818" max="2818" width="42.25" customWidth="1"/>
    <col min="2819" max="2819" width="36" customWidth="1"/>
    <col min="2820" max="2820" width="9.75" customWidth="1"/>
    <col min="2821" max="2821" width="1" customWidth="1"/>
    <col min="2822" max="2822" width="3.875" customWidth="1"/>
    <col min="2823" max="2823" width="9.875" customWidth="1"/>
    <col min="2824" max="2824" width="27.875" customWidth="1"/>
    <col min="2825" max="2825" width="19.75" customWidth="1"/>
    <col min="3073" max="3073" width="5.625" customWidth="1"/>
    <col min="3074" max="3074" width="42.25" customWidth="1"/>
    <col min="3075" max="3075" width="36" customWidth="1"/>
    <col min="3076" max="3076" width="9.75" customWidth="1"/>
    <col min="3077" max="3077" width="1" customWidth="1"/>
    <col min="3078" max="3078" width="3.875" customWidth="1"/>
    <col min="3079" max="3079" width="9.875" customWidth="1"/>
    <col min="3080" max="3080" width="27.875" customWidth="1"/>
    <col min="3081" max="3081" width="19.75" customWidth="1"/>
    <col min="3329" max="3329" width="5.625" customWidth="1"/>
    <col min="3330" max="3330" width="42.25" customWidth="1"/>
    <col min="3331" max="3331" width="36" customWidth="1"/>
    <col min="3332" max="3332" width="9.75" customWidth="1"/>
    <col min="3333" max="3333" width="1" customWidth="1"/>
    <col min="3334" max="3334" width="3.875" customWidth="1"/>
    <col min="3335" max="3335" width="9.875" customWidth="1"/>
    <col min="3336" max="3336" width="27.875" customWidth="1"/>
    <col min="3337" max="3337" width="19.75" customWidth="1"/>
    <col min="3585" max="3585" width="5.625" customWidth="1"/>
    <col min="3586" max="3586" width="42.25" customWidth="1"/>
    <col min="3587" max="3587" width="36" customWidth="1"/>
    <col min="3588" max="3588" width="9.75" customWidth="1"/>
    <col min="3589" max="3589" width="1" customWidth="1"/>
    <col min="3590" max="3590" width="3.875" customWidth="1"/>
    <col min="3591" max="3591" width="9.875" customWidth="1"/>
    <col min="3592" max="3592" width="27.875" customWidth="1"/>
    <col min="3593" max="3593" width="19.75" customWidth="1"/>
    <col min="3841" max="3841" width="5.625" customWidth="1"/>
    <col min="3842" max="3842" width="42.25" customWidth="1"/>
    <col min="3843" max="3843" width="36" customWidth="1"/>
    <col min="3844" max="3844" width="9.75" customWidth="1"/>
    <col min="3845" max="3845" width="1" customWidth="1"/>
    <col min="3846" max="3846" width="3.875" customWidth="1"/>
    <col min="3847" max="3847" width="9.875" customWidth="1"/>
    <col min="3848" max="3848" width="27.875" customWidth="1"/>
    <col min="3849" max="3849" width="19.75" customWidth="1"/>
    <col min="4097" max="4097" width="5.625" customWidth="1"/>
    <col min="4098" max="4098" width="42.25" customWidth="1"/>
    <col min="4099" max="4099" width="36" customWidth="1"/>
    <col min="4100" max="4100" width="9.75" customWidth="1"/>
    <col min="4101" max="4101" width="1" customWidth="1"/>
    <col min="4102" max="4102" width="3.875" customWidth="1"/>
    <col min="4103" max="4103" width="9.875" customWidth="1"/>
    <col min="4104" max="4104" width="27.875" customWidth="1"/>
    <col min="4105" max="4105" width="19.75" customWidth="1"/>
    <col min="4353" max="4353" width="5.625" customWidth="1"/>
    <col min="4354" max="4354" width="42.25" customWidth="1"/>
    <col min="4355" max="4355" width="36" customWidth="1"/>
    <col min="4356" max="4356" width="9.75" customWidth="1"/>
    <col min="4357" max="4357" width="1" customWidth="1"/>
    <col min="4358" max="4358" width="3.875" customWidth="1"/>
    <col min="4359" max="4359" width="9.875" customWidth="1"/>
    <col min="4360" max="4360" width="27.875" customWidth="1"/>
    <col min="4361" max="4361" width="19.75" customWidth="1"/>
    <col min="4609" max="4609" width="5.625" customWidth="1"/>
    <col min="4610" max="4610" width="42.25" customWidth="1"/>
    <col min="4611" max="4611" width="36" customWidth="1"/>
    <col min="4612" max="4612" width="9.75" customWidth="1"/>
    <col min="4613" max="4613" width="1" customWidth="1"/>
    <col min="4614" max="4614" width="3.875" customWidth="1"/>
    <col min="4615" max="4615" width="9.875" customWidth="1"/>
    <col min="4616" max="4616" width="27.875" customWidth="1"/>
    <col min="4617" max="4617" width="19.75" customWidth="1"/>
    <col min="4865" max="4865" width="5.625" customWidth="1"/>
    <col min="4866" max="4866" width="42.25" customWidth="1"/>
    <col min="4867" max="4867" width="36" customWidth="1"/>
    <col min="4868" max="4868" width="9.75" customWidth="1"/>
    <col min="4869" max="4869" width="1" customWidth="1"/>
    <col min="4870" max="4870" width="3.875" customWidth="1"/>
    <col min="4871" max="4871" width="9.875" customWidth="1"/>
    <col min="4872" max="4872" width="27.875" customWidth="1"/>
    <col min="4873" max="4873" width="19.75" customWidth="1"/>
    <col min="5121" max="5121" width="5.625" customWidth="1"/>
    <col min="5122" max="5122" width="42.25" customWidth="1"/>
    <col min="5123" max="5123" width="36" customWidth="1"/>
    <col min="5124" max="5124" width="9.75" customWidth="1"/>
    <col min="5125" max="5125" width="1" customWidth="1"/>
    <col min="5126" max="5126" width="3.875" customWidth="1"/>
    <col min="5127" max="5127" width="9.875" customWidth="1"/>
    <col min="5128" max="5128" width="27.875" customWidth="1"/>
    <col min="5129" max="5129" width="19.75" customWidth="1"/>
    <col min="5377" max="5377" width="5.625" customWidth="1"/>
    <col min="5378" max="5378" width="42.25" customWidth="1"/>
    <col min="5379" max="5379" width="36" customWidth="1"/>
    <col min="5380" max="5380" width="9.75" customWidth="1"/>
    <col min="5381" max="5381" width="1" customWidth="1"/>
    <col min="5382" max="5382" width="3.875" customWidth="1"/>
    <col min="5383" max="5383" width="9.875" customWidth="1"/>
    <col min="5384" max="5384" width="27.875" customWidth="1"/>
    <col min="5385" max="5385" width="19.75" customWidth="1"/>
    <col min="5633" max="5633" width="5.625" customWidth="1"/>
    <col min="5634" max="5634" width="42.25" customWidth="1"/>
    <col min="5635" max="5635" width="36" customWidth="1"/>
    <col min="5636" max="5636" width="9.75" customWidth="1"/>
    <col min="5637" max="5637" width="1" customWidth="1"/>
    <col min="5638" max="5638" width="3.875" customWidth="1"/>
    <col min="5639" max="5639" width="9.875" customWidth="1"/>
    <col min="5640" max="5640" width="27.875" customWidth="1"/>
    <col min="5641" max="5641" width="19.75" customWidth="1"/>
    <col min="5889" max="5889" width="5.625" customWidth="1"/>
    <col min="5890" max="5890" width="42.25" customWidth="1"/>
    <col min="5891" max="5891" width="36" customWidth="1"/>
    <col min="5892" max="5892" width="9.75" customWidth="1"/>
    <col min="5893" max="5893" width="1" customWidth="1"/>
    <col min="5894" max="5894" width="3.875" customWidth="1"/>
    <col min="5895" max="5895" width="9.875" customWidth="1"/>
    <col min="5896" max="5896" width="27.875" customWidth="1"/>
    <col min="5897" max="5897" width="19.75" customWidth="1"/>
    <col min="6145" max="6145" width="5.625" customWidth="1"/>
    <col min="6146" max="6146" width="42.25" customWidth="1"/>
    <col min="6147" max="6147" width="36" customWidth="1"/>
    <col min="6148" max="6148" width="9.75" customWidth="1"/>
    <col min="6149" max="6149" width="1" customWidth="1"/>
    <col min="6150" max="6150" width="3.875" customWidth="1"/>
    <col min="6151" max="6151" width="9.875" customWidth="1"/>
    <col min="6152" max="6152" width="27.875" customWidth="1"/>
    <col min="6153" max="6153" width="19.75" customWidth="1"/>
    <col min="6401" max="6401" width="5.625" customWidth="1"/>
    <col min="6402" max="6402" width="42.25" customWidth="1"/>
    <col min="6403" max="6403" width="36" customWidth="1"/>
    <col min="6404" max="6404" width="9.75" customWidth="1"/>
    <col min="6405" max="6405" width="1" customWidth="1"/>
    <col min="6406" max="6406" width="3.875" customWidth="1"/>
    <col min="6407" max="6407" width="9.875" customWidth="1"/>
    <col min="6408" max="6408" width="27.875" customWidth="1"/>
    <col min="6409" max="6409" width="19.75" customWidth="1"/>
    <col min="6657" max="6657" width="5.625" customWidth="1"/>
    <col min="6658" max="6658" width="42.25" customWidth="1"/>
    <col min="6659" max="6659" width="36" customWidth="1"/>
    <col min="6660" max="6660" width="9.75" customWidth="1"/>
    <col min="6661" max="6661" width="1" customWidth="1"/>
    <col min="6662" max="6662" width="3.875" customWidth="1"/>
    <col min="6663" max="6663" width="9.875" customWidth="1"/>
    <col min="6664" max="6664" width="27.875" customWidth="1"/>
    <col min="6665" max="6665" width="19.75" customWidth="1"/>
    <col min="6913" max="6913" width="5.625" customWidth="1"/>
    <col min="6914" max="6914" width="42.25" customWidth="1"/>
    <col min="6915" max="6915" width="36" customWidth="1"/>
    <col min="6916" max="6916" width="9.75" customWidth="1"/>
    <col min="6917" max="6917" width="1" customWidth="1"/>
    <col min="6918" max="6918" width="3.875" customWidth="1"/>
    <col min="6919" max="6919" width="9.875" customWidth="1"/>
    <col min="6920" max="6920" width="27.875" customWidth="1"/>
    <col min="6921" max="6921" width="19.75" customWidth="1"/>
    <col min="7169" max="7169" width="5.625" customWidth="1"/>
    <col min="7170" max="7170" width="42.25" customWidth="1"/>
    <col min="7171" max="7171" width="36" customWidth="1"/>
    <col min="7172" max="7172" width="9.75" customWidth="1"/>
    <col min="7173" max="7173" width="1" customWidth="1"/>
    <col min="7174" max="7174" width="3.875" customWidth="1"/>
    <col min="7175" max="7175" width="9.875" customWidth="1"/>
    <col min="7176" max="7176" width="27.875" customWidth="1"/>
    <col min="7177" max="7177" width="19.75" customWidth="1"/>
    <col min="7425" max="7425" width="5.625" customWidth="1"/>
    <col min="7426" max="7426" width="42.25" customWidth="1"/>
    <col min="7427" max="7427" width="36" customWidth="1"/>
    <col min="7428" max="7428" width="9.75" customWidth="1"/>
    <col min="7429" max="7429" width="1" customWidth="1"/>
    <col min="7430" max="7430" width="3.875" customWidth="1"/>
    <col min="7431" max="7431" width="9.875" customWidth="1"/>
    <col min="7432" max="7432" width="27.875" customWidth="1"/>
    <col min="7433" max="7433" width="19.75" customWidth="1"/>
    <col min="7681" max="7681" width="5.625" customWidth="1"/>
    <col min="7682" max="7682" width="42.25" customWidth="1"/>
    <col min="7683" max="7683" width="36" customWidth="1"/>
    <col min="7684" max="7684" width="9.75" customWidth="1"/>
    <col min="7685" max="7685" width="1" customWidth="1"/>
    <col min="7686" max="7686" width="3.875" customWidth="1"/>
    <col min="7687" max="7687" width="9.875" customWidth="1"/>
    <col min="7688" max="7688" width="27.875" customWidth="1"/>
    <col min="7689" max="7689" width="19.75" customWidth="1"/>
    <col min="7937" max="7937" width="5.625" customWidth="1"/>
    <col min="7938" max="7938" width="42.25" customWidth="1"/>
    <col min="7939" max="7939" width="36" customWidth="1"/>
    <col min="7940" max="7940" width="9.75" customWidth="1"/>
    <col min="7941" max="7941" width="1" customWidth="1"/>
    <col min="7942" max="7942" width="3.875" customWidth="1"/>
    <col min="7943" max="7943" width="9.875" customWidth="1"/>
    <col min="7944" max="7944" width="27.875" customWidth="1"/>
    <col min="7945" max="7945" width="19.75" customWidth="1"/>
    <col min="8193" max="8193" width="5.625" customWidth="1"/>
    <col min="8194" max="8194" width="42.25" customWidth="1"/>
    <col min="8195" max="8195" width="36" customWidth="1"/>
    <col min="8196" max="8196" width="9.75" customWidth="1"/>
    <col min="8197" max="8197" width="1" customWidth="1"/>
    <col min="8198" max="8198" width="3.875" customWidth="1"/>
    <col min="8199" max="8199" width="9.875" customWidth="1"/>
    <col min="8200" max="8200" width="27.875" customWidth="1"/>
    <col min="8201" max="8201" width="19.75" customWidth="1"/>
    <col min="8449" max="8449" width="5.625" customWidth="1"/>
    <col min="8450" max="8450" width="42.25" customWidth="1"/>
    <col min="8451" max="8451" width="36" customWidth="1"/>
    <col min="8452" max="8452" width="9.75" customWidth="1"/>
    <col min="8453" max="8453" width="1" customWidth="1"/>
    <col min="8454" max="8454" width="3.875" customWidth="1"/>
    <col min="8455" max="8455" width="9.875" customWidth="1"/>
    <col min="8456" max="8456" width="27.875" customWidth="1"/>
    <col min="8457" max="8457" width="19.75" customWidth="1"/>
    <col min="8705" max="8705" width="5.625" customWidth="1"/>
    <col min="8706" max="8706" width="42.25" customWidth="1"/>
    <col min="8707" max="8707" width="36" customWidth="1"/>
    <col min="8708" max="8708" width="9.75" customWidth="1"/>
    <col min="8709" max="8709" width="1" customWidth="1"/>
    <col min="8710" max="8710" width="3.875" customWidth="1"/>
    <col min="8711" max="8711" width="9.875" customWidth="1"/>
    <col min="8712" max="8712" width="27.875" customWidth="1"/>
    <col min="8713" max="8713" width="19.75" customWidth="1"/>
    <col min="8961" max="8961" width="5.625" customWidth="1"/>
    <col min="8962" max="8962" width="42.25" customWidth="1"/>
    <col min="8963" max="8963" width="36" customWidth="1"/>
    <col min="8964" max="8964" width="9.75" customWidth="1"/>
    <col min="8965" max="8965" width="1" customWidth="1"/>
    <col min="8966" max="8966" width="3.875" customWidth="1"/>
    <col min="8967" max="8967" width="9.875" customWidth="1"/>
    <col min="8968" max="8968" width="27.875" customWidth="1"/>
    <col min="8969" max="8969" width="19.75" customWidth="1"/>
    <col min="9217" max="9217" width="5.625" customWidth="1"/>
    <col min="9218" max="9218" width="42.25" customWidth="1"/>
    <col min="9219" max="9219" width="36" customWidth="1"/>
    <col min="9220" max="9220" width="9.75" customWidth="1"/>
    <col min="9221" max="9221" width="1" customWidth="1"/>
    <col min="9222" max="9222" width="3.875" customWidth="1"/>
    <col min="9223" max="9223" width="9.875" customWidth="1"/>
    <col min="9224" max="9224" width="27.875" customWidth="1"/>
    <col min="9225" max="9225" width="19.75" customWidth="1"/>
    <col min="9473" max="9473" width="5.625" customWidth="1"/>
    <col min="9474" max="9474" width="42.25" customWidth="1"/>
    <col min="9475" max="9475" width="36" customWidth="1"/>
    <col min="9476" max="9476" width="9.75" customWidth="1"/>
    <col min="9477" max="9477" width="1" customWidth="1"/>
    <col min="9478" max="9478" width="3.875" customWidth="1"/>
    <col min="9479" max="9479" width="9.875" customWidth="1"/>
    <col min="9480" max="9480" width="27.875" customWidth="1"/>
    <col min="9481" max="9481" width="19.75" customWidth="1"/>
    <col min="9729" max="9729" width="5.625" customWidth="1"/>
    <col min="9730" max="9730" width="42.25" customWidth="1"/>
    <col min="9731" max="9731" width="36" customWidth="1"/>
    <col min="9732" max="9732" width="9.75" customWidth="1"/>
    <col min="9733" max="9733" width="1" customWidth="1"/>
    <col min="9734" max="9734" width="3.875" customWidth="1"/>
    <col min="9735" max="9735" width="9.875" customWidth="1"/>
    <col min="9736" max="9736" width="27.875" customWidth="1"/>
    <col min="9737" max="9737" width="19.75" customWidth="1"/>
    <col min="9985" max="9985" width="5.625" customWidth="1"/>
    <col min="9986" max="9986" width="42.25" customWidth="1"/>
    <col min="9987" max="9987" width="36" customWidth="1"/>
    <col min="9988" max="9988" width="9.75" customWidth="1"/>
    <col min="9989" max="9989" width="1" customWidth="1"/>
    <col min="9990" max="9990" width="3.875" customWidth="1"/>
    <col min="9991" max="9991" width="9.875" customWidth="1"/>
    <col min="9992" max="9992" width="27.875" customWidth="1"/>
    <col min="9993" max="9993" width="19.75" customWidth="1"/>
    <col min="10241" max="10241" width="5.625" customWidth="1"/>
    <col min="10242" max="10242" width="42.25" customWidth="1"/>
    <col min="10243" max="10243" width="36" customWidth="1"/>
    <col min="10244" max="10244" width="9.75" customWidth="1"/>
    <col min="10245" max="10245" width="1" customWidth="1"/>
    <col min="10246" max="10246" width="3.875" customWidth="1"/>
    <col min="10247" max="10247" width="9.875" customWidth="1"/>
    <col min="10248" max="10248" width="27.875" customWidth="1"/>
    <col min="10249" max="10249" width="19.75" customWidth="1"/>
    <col min="10497" max="10497" width="5.625" customWidth="1"/>
    <col min="10498" max="10498" width="42.25" customWidth="1"/>
    <col min="10499" max="10499" width="36" customWidth="1"/>
    <col min="10500" max="10500" width="9.75" customWidth="1"/>
    <col min="10501" max="10501" width="1" customWidth="1"/>
    <col min="10502" max="10502" width="3.875" customWidth="1"/>
    <col min="10503" max="10503" width="9.875" customWidth="1"/>
    <col min="10504" max="10504" width="27.875" customWidth="1"/>
    <col min="10505" max="10505" width="19.75" customWidth="1"/>
    <col min="10753" max="10753" width="5.625" customWidth="1"/>
    <col min="10754" max="10754" width="42.25" customWidth="1"/>
    <col min="10755" max="10755" width="36" customWidth="1"/>
    <col min="10756" max="10756" width="9.75" customWidth="1"/>
    <col min="10757" max="10757" width="1" customWidth="1"/>
    <col min="10758" max="10758" width="3.875" customWidth="1"/>
    <col min="10759" max="10759" width="9.875" customWidth="1"/>
    <col min="10760" max="10760" width="27.875" customWidth="1"/>
    <col min="10761" max="10761" width="19.75" customWidth="1"/>
    <col min="11009" max="11009" width="5.625" customWidth="1"/>
    <col min="11010" max="11010" width="42.25" customWidth="1"/>
    <col min="11011" max="11011" width="36" customWidth="1"/>
    <col min="11012" max="11012" width="9.75" customWidth="1"/>
    <col min="11013" max="11013" width="1" customWidth="1"/>
    <col min="11014" max="11014" width="3.875" customWidth="1"/>
    <col min="11015" max="11015" width="9.875" customWidth="1"/>
    <col min="11016" max="11016" width="27.875" customWidth="1"/>
    <col min="11017" max="11017" width="19.75" customWidth="1"/>
    <col min="11265" max="11265" width="5.625" customWidth="1"/>
    <col min="11266" max="11266" width="42.25" customWidth="1"/>
    <col min="11267" max="11267" width="36" customWidth="1"/>
    <col min="11268" max="11268" width="9.75" customWidth="1"/>
    <col min="11269" max="11269" width="1" customWidth="1"/>
    <col min="11270" max="11270" width="3.875" customWidth="1"/>
    <col min="11271" max="11271" width="9.875" customWidth="1"/>
    <col min="11272" max="11272" width="27.875" customWidth="1"/>
    <col min="11273" max="11273" width="19.75" customWidth="1"/>
    <col min="11521" max="11521" width="5.625" customWidth="1"/>
    <col min="11522" max="11522" width="42.25" customWidth="1"/>
    <col min="11523" max="11523" width="36" customWidth="1"/>
    <col min="11524" max="11524" width="9.75" customWidth="1"/>
    <col min="11525" max="11525" width="1" customWidth="1"/>
    <col min="11526" max="11526" width="3.875" customWidth="1"/>
    <col min="11527" max="11527" width="9.875" customWidth="1"/>
    <col min="11528" max="11528" width="27.875" customWidth="1"/>
    <col min="11529" max="11529" width="19.75" customWidth="1"/>
    <col min="11777" max="11777" width="5.625" customWidth="1"/>
    <col min="11778" max="11778" width="42.25" customWidth="1"/>
    <col min="11779" max="11779" width="36" customWidth="1"/>
    <col min="11780" max="11780" width="9.75" customWidth="1"/>
    <col min="11781" max="11781" width="1" customWidth="1"/>
    <col min="11782" max="11782" width="3.875" customWidth="1"/>
    <col min="11783" max="11783" width="9.875" customWidth="1"/>
    <col min="11784" max="11784" width="27.875" customWidth="1"/>
    <col min="11785" max="11785" width="19.75" customWidth="1"/>
    <col min="12033" max="12033" width="5.625" customWidth="1"/>
    <col min="12034" max="12034" width="42.25" customWidth="1"/>
    <col min="12035" max="12035" width="36" customWidth="1"/>
    <col min="12036" max="12036" width="9.75" customWidth="1"/>
    <col min="12037" max="12037" width="1" customWidth="1"/>
    <col min="12038" max="12038" width="3.875" customWidth="1"/>
    <col min="12039" max="12039" width="9.875" customWidth="1"/>
    <col min="12040" max="12040" width="27.875" customWidth="1"/>
    <col min="12041" max="12041" width="19.75" customWidth="1"/>
    <col min="12289" max="12289" width="5.625" customWidth="1"/>
    <col min="12290" max="12290" width="42.25" customWidth="1"/>
    <col min="12291" max="12291" width="36" customWidth="1"/>
    <col min="12292" max="12292" width="9.75" customWidth="1"/>
    <col min="12293" max="12293" width="1" customWidth="1"/>
    <col min="12294" max="12294" width="3.875" customWidth="1"/>
    <col min="12295" max="12295" width="9.875" customWidth="1"/>
    <col min="12296" max="12296" width="27.875" customWidth="1"/>
    <col min="12297" max="12297" width="19.75" customWidth="1"/>
    <col min="12545" max="12545" width="5.625" customWidth="1"/>
    <col min="12546" max="12546" width="42.25" customWidth="1"/>
    <col min="12547" max="12547" width="36" customWidth="1"/>
    <col min="12548" max="12548" width="9.75" customWidth="1"/>
    <col min="12549" max="12549" width="1" customWidth="1"/>
    <col min="12550" max="12550" width="3.875" customWidth="1"/>
    <col min="12551" max="12551" width="9.875" customWidth="1"/>
    <col min="12552" max="12552" width="27.875" customWidth="1"/>
    <col min="12553" max="12553" width="19.75" customWidth="1"/>
    <col min="12801" max="12801" width="5.625" customWidth="1"/>
    <col min="12802" max="12802" width="42.25" customWidth="1"/>
    <col min="12803" max="12803" width="36" customWidth="1"/>
    <col min="12804" max="12804" width="9.75" customWidth="1"/>
    <col min="12805" max="12805" width="1" customWidth="1"/>
    <col min="12806" max="12806" width="3.875" customWidth="1"/>
    <col min="12807" max="12807" width="9.875" customWidth="1"/>
    <col min="12808" max="12808" width="27.875" customWidth="1"/>
    <col min="12809" max="12809" width="19.75" customWidth="1"/>
    <col min="13057" max="13057" width="5.625" customWidth="1"/>
    <col min="13058" max="13058" width="42.25" customWidth="1"/>
    <col min="13059" max="13059" width="36" customWidth="1"/>
    <col min="13060" max="13060" width="9.75" customWidth="1"/>
    <col min="13061" max="13061" width="1" customWidth="1"/>
    <col min="13062" max="13062" width="3.875" customWidth="1"/>
    <col min="13063" max="13063" width="9.875" customWidth="1"/>
    <col min="13064" max="13064" width="27.875" customWidth="1"/>
    <col min="13065" max="13065" width="19.75" customWidth="1"/>
    <col min="13313" max="13313" width="5.625" customWidth="1"/>
    <col min="13314" max="13314" width="42.25" customWidth="1"/>
    <col min="13315" max="13315" width="36" customWidth="1"/>
    <col min="13316" max="13316" width="9.75" customWidth="1"/>
    <col min="13317" max="13317" width="1" customWidth="1"/>
    <col min="13318" max="13318" width="3.875" customWidth="1"/>
    <col min="13319" max="13319" width="9.875" customWidth="1"/>
    <col min="13320" max="13320" width="27.875" customWidth="1"/>
    <col min="13321" max="13321" width="19.75" customWidth="1"/>
    <col min="13569" max="13569" width="5.625" customWidth="1"/>
    <col min="13570" max="13570" width="42.25" customWidth="1"/>
    <col min="13571" max="13571" width="36" customWidth="1"/>
    <col min="13572" max="13572" width="9.75" customWidth="1"/>
    <col min="13573" max="13573" width="1" customWidth="1"/>
    <col min="13574" max="13574" width="3.875" customWidth="1"/>
    <col min="13575" max="13575" width="9.875" customWidth="1"/>
    <col min="13576" max="13576" width="27.875" customWidth="1"/>
    <col min="13577" max="13577" width="19.75" customWidth="1"/>
    <col min="13825" max="13825" width="5.625" customWidth="1"/>
    <col min="13826" max="13826" width="42.25" customWidth="1"/>
    <col min="13827" max="13827" width="36" customWidth="1"/>
    <col min="13828" max="13828" width="9.75" customWidth="1"/>
    <col min="13829" max="13829" width="1" customWidth="1"/>
    <col min="13830" max="13830" width="3.875" customWidth="1"/>
    <col min="13831" max="13831" width="9.875" customWidth="1"/>
    <col min="13832" max="13832" width="27.875" customWidth="1"/>
    <col min="13833" max="13833" width="19.75" customWidth="1"/>
    <col min="14081" max="14081" width="5.625" customWidth="1"/>
    <col min="14082" max="14082" width="42.25" customWidth="1"/>
    <col min="14083" max="14083" width="36" customWidth="1"/>
    <col min="14084" max="14084" width="9.75" customWidth="1"/>
    <col min="14085" max="14085" width="1" customWidth="1"/>
    <col min="14086" max="14086" width="3.875" customWidth="1"/>
    <col min="14087" max="14087" width="9.875" customWidth="1"/>
    <col min="14088" max="14088" width="27.875" customWidth="1"/>
    <col min="14089" max="14089" width="19.75" customWidth="1"/>
    <col min="14337" max="14337" width="5.625" customWidth="1"/>
    <col min="14338" max="14338" width="42.25" customWidth="1"/>
    <col min="14339" max="14339" width="36" customWidth="1"/>
    <col min="14340" max="14340" width="9.75" customWidth="1"/>
    <col min="14341" max="14341" width="1" customWidth="1"/>
    <col min="14342" max="14342" width="3.875" customWidth="1"/>
    <col min="14343" max="14343" width="9.875" customWidth="1"/>
    <col min="14344" max="14344" width="27.875" customWidth="1"/>
    <col min="14345" max="14345" width="19.75" customWidth="1"/>
    <col min="14593" max="14593" width="5.625" customWidth="1"/>
    <col min="14594" max="14594" width="42.25" customWidth="1"/>
    <col min="14595" max="14595" width="36" customWidth="1"/>
    <col min="14596" max="14596" width="9.75" customWidth="1"/>
    <col min="14597" max="14597" width="1" customWidth="1"/>
    <col min="14598" max="14598" width="3.875" customWidth="1"/>
    <col min="14599" max="14599" width="9.875" customWidth="1"/>
    <col min="14600" max="14600" width="27.875" customWidth="1"/>
    <col min="14601" max="14601" width="19.75" customWidth="1"/>
    <col min="14849" max="14849" width="5.625" customWidth="1"/>
    <col min="14850" max="14850" width="42.25" customWidth="1"/>
    <col min="14851" max="14851" width="36" customWidth="1"/>
    <col min="14852" max="14852" width="9.75" customWidth="1"/>
    <col min="14853" max="14853" width="1" customWidth="1"/>
    <col min="14854" max="14854" width="3.875" customWidth="1"/>
    <col min="14855" max="14855" width="9.875" customWidth="1"/>
    <col min="14856" max="14856" width="27.875" customWidth="1"/>
    <col min="14857" max="14857" width="19.75" customWidth="1"/>
    <col min="15105" max="15105" width="5.625" customWidth="1"/>
    <col min="15106" max="15106" width="42.25" customWidth="1"/>
    <col min="15107" max="15107" width="36" customWidth="1"/>
    <col min="15108" max="15108" width="9.75" customWidth="1"/>
    <col min="15109" max="15109" width="1" customWidth="1"/>
    <col min="15110" max="15110" width="3.875" customWidth="1"/>
    <col min="15111" max="15111" width="9.875" customWidth="1"/>
    <col min="15112" max="15112" width="27.875" customWidth="1"/>
    <col min="15113" max="15113" width="19.75" customWidth="1"/>
    <col min="15361" max="15361" width="5.625" customWidth="1"/>
    <col min="15362" max="15362" width="42.25" customWidth="1"/>
    <col min="15363" max="15363" width="36" customWidth="1"/>
    <col min="15364" max="15364" width="9.75" customWidth="1"/>
    <col min="15365" max="15365" width="1" customWidth="1"/>
    <col min="15366" max="15366" width="3.875" customWidth="1"/>
    <col min="15367" max="15367" width="9.875" customWidth="1"/>
    <col min="15368" max="15368" width="27.875" customWidth="1"/>
    <col min="15369" max="15369" width="19.75" customWidth="1"/>
    <col min="15617" max="15617" width="5.625" customWidth="1"/>
    <col min="15618" max="15618" width="42.25" customWidth="1"/>
    <col min="15619" max="15619" width="36" customWidth="1"/>
    <col min="15620" max="15620" width="9.75" customWidth="1"/>
    <col min="15621" max="15621" width="1" customWidth="1"/>
    <col min="15622" max="15622" width="3.875" customWidth="1"/>
    <col min="15623" max="15623" width="9.875" customWidth="1"/>
    <col min="15624" max="15624" width="27.875" customWidth="1"/>
    <col min="15625" max="15625" width="19.75" customWidth="1"/>
    <col min="15873" max="15873" width="5.625" customWidth="1"/>
    <col min="15874" max="15874" width="42.25" customWidth="1"/>
    <col min="15875" max="15875" width="36" customWidth="1"/>
    <col min="15876" max="15876" width="9.75" customWidth="1"/>
    <col min="15877" max="15877" width="1" customWidth="1"/>
    <col min="15878" max="15878" width="3.875" customWidth="1"/>
    <col min="15879" max="15879" width="9.875" customWidth="1"/>
    <col min="15880" max="15880" width="27.875" customWidth="1"/>
    <col min="15881" max="15881" width="19.75" customWidth="1"/>
    <col min="16129" max="16129" width="5.625" customWidth="1"/>
    <col min="16130" max="16130" width="42.25" customWidth="1"/>
    <col min="16131" max="16131" width="36" customWidth="1"/>
    <col min="16132" max="16132" width="9.75" customWidth="1"/>
    <col min="16133" max="16133" width="1" customWidth="1"/>
    <col min="16134" max="16134" width="3.875" customWidth="1"/>
    <col min="16135" max="16135" width="9.875" customWidth="1"/>
    <col min="16136" max="16136" width="27.875" customWidth="1"/>
    <col min="16137" max="16137" width="19.75" customWidth="1"/>
  </cols>
  <sheetData>
    <row r="1" spans="1:12">
      <c r="A1" s="156" t="s">
        <v>275</v>
      </c>
      <c r="B1" s="156"/>
      <c r="C1" s="156"/>
      <c r="D1" s="156"/>
      <c r="E1" s="156"/>
      <c r="F1" s="156"/>
      <c r="G1" s="156"/>
      <c r="H1" s="156"/>
      <c r="I1" s="156"/>
      <c r="J1" s="156"/>
      <c r="K1" s="156"/>
      <c r="L1" s="156"/>
    </row>
    <row r="2" spans="1:12">
      <c r="A2" s="157" t="s">
        <v>318</v>
      </c>
      <c r="B2" s="157"/>
      <c r="C2" s="157"/>
      <c r="D2" s="157"/>
      <c r="G2" s="24" t="s">
        <v>319</v>
      </c>
      <c r="H2" s="24"/>
      <c r="I2" s="24"/>
      <c r="J2" s="24"/>
      <c r="K2" s="24"/>
      <c r="L2" s="24"/>
    </row>
    <row r="3" spans="1:12" ht="18" customHeight="1">
      <c r="A3" s="158" t="s">
        <v>320</v>
      </c>
      <c r="B3" s="159"/>
      <c r="C3" s="160"/>
      <c r="D3" s="670" t="s">
        <v>321</v>
      </c>
      <c r="G3" s="24" t="s">
        <v>322</v>
      </c>
      <c r="H3" s="24"/>
      <c r="I3" s="24"/>
      <c r="J3" s="24"/>
      <c r="K3" s="24"/>
      <c r="L3" s="24"/>
    </row>
    <row r="4" spans="1:12" ht="29.25" customHeight="1">
      <c r="A4" s="161" t="s">
        <v>323</v>
      </c>
      <c r="B4" s="161"/>
      <c r="C4" s="161" t="s">
        <v>324</v>
      </c>
      <c r="D4" s="671"/>
      <c r="G4" s="162" t="s">
        <v>325</v>
      </c>
      <c r="H4" s="157"/>
      <c r="I4" s="157"/>
      <c r="J4" s="157"/>
      <c r="K4" s="157"/>
      <c r="L4" s="157"/>
    </row>
    <row r="5" spans="1:12" ht="15" customHeight="1">
      <c r="A5" s="672" t="s">
        <v>326</v>
      </c>
      <c r="B5" s="163" t="s">
        <v>327</v>
      </c>
      <c r="C5" s="164" t="s">
        <v>328</v>
      </c>
      <c r="D5" s="165">
        <v>1.9</v>
      </c>
      <c r="G5" s="675" t="s">
        <v>329</v>
      </c>
      <c r="H5" s="676"/>
      <c r="I5" s="677"/>
      <c r="J5" s="660" t="s">
        <v>330</v>
      </c>
      <c r="K5" s="661"/>
      <c r="L5" s="662"/>
    </row>
    <row r="6" spans="1:12" ht="15" customHeight="1">
      <c r="A6" s="673"/>
      <c r="B6" s="166"/>
      <c r="C6" s="164" t="s">
        <v>331</v>
      </c>
      <c r="D6" s="165">
        <v>1.9</v>
      </c>
      <c r="G6" s="678"/>
      <c r="H6" s="679"/>
      <c r="I6" s="680"/>
      <c r="J6" s="167" t="s">
        <v>332</v>
      </c>
      <c r="K6" s="167" t="s">
        <v>333</v>
      </c>
      <c r="L6" s="168" t="s">
        <v>334</v>
      </c>
    </row>
    <row r="7" spans="1:12" ht="15" customHeight="1">
      <c r="A7" s="673"/>
      <c r="B7" s="166"/>
      <c r="C7" s="164" t="s">
        <v>335</v>
      </c>
      <c r="D7" s="165">
        <v>2.33</v>
      </c>
      <c r="G7" s="169" t="s">
        <v>336</v>
      </c>
      <c r="H7" s="663" t="s">
        <v>337</v>
      </c>
      <c r="I7" s="164" t="s">
        <v>338</v>
      </c>
      <c r="J7" s="165">
        <v>0.39</v>
      </c>
      <c r="K7" s="165">
        <v>0.24</v>
      </c>
      <c r="L7" s="165">
        <v>0.09</v>
      </c>
    </row>
    <row r="8" spans="1:12" ht="15" customHeight="1">
      <c r="A8" s="673"/>
      <c r="B8" s="166"/>
      <c r="C8" s="164" t="s">
        <v>339</v>
      </c>
      <c r="D8" s="165">
        <v>2.91</v>
      </c>
      <c r="G8" s="166"/>
      <c r="H8" s="663"/>
      <c r="I8" s="164" t="s">
        <v>340</v>
      </c>
      <c r="J8" s="165">
        <v>0.24</v>
      </c>
      <c r="K8" s="165">
        <v>0.16</v>
      </c>
      <c r="L8" s="165">
        <v>0.06</v>
      </c>
    </row>
    <row r="9" spans="1:12" ht="15" customHeight="1">
      <c r="A9" s="673"/>
      <c r="B9" s="166"/>
      <c r="C9" s="164" t="s">
        <v>341</v>
      </c>
      <c r="D9" s="165">
        <v>2.91</v>
      </c>
      <c r="G9" s="166"/>
      <c r="H9" s="664" t="s">
        <v>342</v>
      </c>
      <c r="I9" s="164" t="s">
        <v>338</v>
      </c>
      <c r="J9" s="165">
        <v>0.42</v>
      </c>
      <c r="K9" s="165">
        <v>0.27</v>
      </c>
      <c r="L9" s="165">
        <v>0.1</v>
      </c>
    </row>
    <row r="10" spans="1:12" ht="15" customHeight="1">
      <c r="A10" s="673"/>
      <c r="B10" s="161"/>
      <c r="C10" s="164" t="s">
        <v>343</v>
      </c>
      <c r="D10" s="165">
        <v>6.51</v>
      </c>
      <c r="G10" s="166"/>
      <c r="H10" s="665"/>
      <c r="I10" s="164" t="s">
        <v>340</v>
      </c>
      <c r="J10" s="165">
        <v>0.27</v>
      </c>
      <c r="K10" s="165">
        <v>0.18</v>
      </c>
      <c r="L10" s="165">
        <v>7.0000000000000007E-2</v>
      </c>
    </row>
    <row r="11" spans="1:12" ht="15" customHeight="1">
      <c r="A11" s="673"/>
      <c r="B11" s="169" t="s">
        <v>344</v>
      </c>
      <c r="C11" s="164" t="s">
        <v>335</v>
      </c>
      <c r="D11" s="165">
        <v>2.33</v>
      </c>
      <c r="G11" s="169" t="s">
        <v>345</v>
      </c>
      <c r="H11" s="664" t="s">
        <v>346</v>
      </c>
      <c r="I11" s="164" t="s">
        <v>338</v>
      </c>
      <c r="J11" s="165">
        <v>0.46</v>
      </c>
      <c r="K11" s="165">
        <v>0.27</v>
      </c>
      <c r="L11" s="165">
        <v>0.11</v>
      </c>
    </row>
    <row r="12" spans="1:12" ht="15" customHeight="1">
      <c r="A12" s="673"/>
      <c r="B12" s="166" t="s">
        <v>347</v>
      </c>
      <c r="C12" s="164" t="s">
        <v>341</v>
      </c>
      <c r="D12" s="165">
        <v>3.49</v>
      </c>
      <c r="G12" s="166"/>
      <c r="H12" s="665"/>
      <c r="I12" s="164" t="s">
        <v>340</v>
      </c>
      <c r="J12" s="165">
        <v>0.28999999999999998</v>
      </c>
      <c r="K12" s="165">
        <v>0.19</v>
      </c>
      <c r="L12" s="165">
        <v>0.08</v>
      </c>
    </row>
    <row r="13" spans="1:12" ht="15" customHeight="1">
      <c r="A13" s="673"/>
      <c r="B13" s="166"/>
      <c r="C13" s="164" t="s">
        <v>339</v>
      </c>
      <c r="D13" s="165">
        <v>3.49</v>
      </c>
      <c r="G13" s="166"/>
      <c r="H13" s="666" t="s">
        <v>348</v>
      </c>
      <c r="I13" s="170" t="s">
        <v>349</v>
      </c>
      <c r="J13" s="165">
        <v>0.44</v>
      </c>
      <c r="K13" s="165">
        <v>0.24</v>
      </c>
      <c r="L13" s="165">
        <v>0.1</v>
      </c>
    </row>
    <row r="14" spans="1:12" ht="15" customHeight="1">
      <c r="A14" s="673"/>
      <c r="B14" s="161"/>
      <c r="C14" s="164" t="s">
        <v>350</v>
      </c>
      <c r="D14" s="165">
        <v>4.07</v>
      </c>
      <c r="G14" s="166"/>
      <c r="H14" s="667"/>
      <c r="I14" s="170" t="s">
        <v>351</v>
      </c>
      <c r="J14" s="165">
        <v>0.27</v>
      </c>
      <c r="K14" s="165">
        <v>0.17</v>
      </c>
      <c r="L14" s="165">
        <v>7.0000000000000007E-2</v>
      </c>
    </row>
    <row r="15" spans="1:12" ht="15" customHeight="1">
      <c r="A15" s="673"/>
      <c r="B15" s="169" t="s">
        <v>352</v>
      </c>
      <c r="C15" s="164" t="s">
        <v>335</v>
      </c>
      <c r="D15" s="165">
        <v>2.91</v>
      </c>
      <c r="G15" s="166"/>
      <c r="H15" s="667"/>
      <c r="I15" s="170" t="s">
        <v>353</v>
      </c>
      <c r="J15" s="165">
        <v>0.12</v>
      </c>
      <c r="K15" s="165">
        <v>0.09</v>
      </c>
      <c r="L15" s="165">
        <v>0.04</v>
      </c>
    </row>
    <row r="16" spans="1:12" ht="15" customHeight="1">
      <c r="A16" s="673"/>
      <c r="B16" s="166" t="s">
        <v>354</v>
      </c>
      <c r="C16" s="164" t="s">
        <v>355</v>
      </c>
      <c r="D16" s="165">
        <v>3.49</v>
      </c>
      <c r="G16" s="166"/>
      <c r="H16" s="668"/>
      <c r="I16" s="170" t="s">
        <v>356</v>
      </c>
      <c r="J16" s="165">
        <v>0.37</v>
      </c>
      <c r="K16" s="165">
        <v>0.2</v>
      </c>
      <c r="L16" s="165">
        <v>0.09</v>
      </c>
    </row>
    <row r="17" spans="1:12" ht="15" customHeight="1">
      <c r="A17" s="673"/>
      <c r="B17" s="166"/>
      <c r="C17" s="164" t="s">
        <v>339</v>
      </c>
      <c r="D17" s="165">
        <v>3.49</v>
      </c>
      <c r="G17" s="166"/>
      <c r="H17" s="158" t="s">
        <v>357</v>
      </c>
      <c r="I17" s="171"/>
      <c r="J17" s="165">
        <v>0.56999999999999995</v>
      </c>
      <c r="K17" s="165">
        <v>0.27</v>
      </c>
      <c r="L17" s="165">
        <v>0.12</v>
      </c>
    </row>
    <row r="18" spans="1:12" ht="15" customHeight="1">
      <c r="A18" s="673"/>
      <c r="B18" s="161"/>
      <c r="C18" s="164" t="s">
        <v>350</v>
      </c>
      <c r="D18" s="165">
        <v>4.07</v>
      </c>
      <c r="G18" s="161"/>
      <c r="H18" s="158" t="s">
        <v>358</v>
      </c>
      <c r="I18" s="160"/>
      <c r="J18" s="165">
        <v>0.56999999999999995</v>
      </c>
      <c r="K18" s="165">
        <v>0.27</v>
      </c>
      <c r="L18" s="165">
        <v>0.12</v>
      </c>
    </row>
    <row r="19" spans="1:12" ht="15" customHeight="1">
      <c r="A19" s="673"/>
      <c r="B19" s="169" t="s">
        <v>359</v>
      </c>
      <c r="C19" s="164" t="s">
        <v>335</v>
      </c>
      <c r="D19" s="165">
        <v>3.49</v>
      </c>
      <c r="G19" s="169" t="s">
        <v>360</v>
      </c>
      <c r="H19" s="169"/>
      <c r="I19" s="170" t="s">
        <v>349</v>
      </c>
      <c r="J19" s="165">
        <v>0.49</v>
      </c>
      <c r="K19" s="165">
        <v>0.25</v>
      </c>
      <c r="L19" s="165">
        <v>0.12</v>
      </c>
    </row>
    <row r="20" spans="1:12" ht="15" customHeight="1">
      <c r="A20" s="673"/>
      <c r="B20" s="166"/>
      <c r="C20" s="164" t="s">
        <v>341</v>
      </c>
      <c r="D20" s="165">
        <v>4.07</v>
      </c>
      <c r="G20" s="166"/>
      <c r="H20" s="166"/>
      <c r="I20" s="170" t="s">
        <v>351</v>
      </c>
      <c r="J20" s="165">
        <v>0.35</v>
      </c>
      <c r="K20" s="165">
        <v>0.22</v>
      </c>
      <c r="L20" s="165">
        <v>0.09</v>
      </c>
    </row>
    <row r="21" spans="1:12" ht="15" customHeight="1">
      <c r="A21" s="673"/>
      <c r="B21" s="166"/>
      <c r="C21" s="164" t="s">
        <v>339</v>
      </c>
      <c r="D21" s="165">
        <v>4.07</v>
      </c>
      <c r="G21" s="166"/>
      <c r="H21" s="166" t="s">
        <v>361</v>
      </c>
      <c r="I21" s="170" t="s">
        <v>353</v>
      </c>
      <c r="J21" s="165">
        <v>0.17</v>
      </c>
      <c r="K21" s="165">
        <v>0.14000000000000001</v>
      </c>
      <c r="L21" s="165">
        <v>0.06</v>
      </c>
    </row>
    <row r="22" spans="1:12" ht="15" customHeight="1">
      <c r="A22" s="673"/>
      <c r="B22" s="166"/>
      <c r="C22" s="164" t="s">
        <v>362</v>
      </c>
      <c r="D22" s="165">
        <v>4.6500000000000004</v>
      </c>
      <c r="G22" s="166"/>
      <c r="H22" s="166"/>
      <c r="I22" s="170" t="s">
        <v>356</v>
      </c>
      <c r="J22" s="165">
        <v>0.45</v>
      </c>
      <c r="K22" s="165">
        <v>0.24</v>
      </c>
      <c r="L22" s="165">
        <v>0.11</v>
      </c>
    </row>
    <row r="23" spans="1:12" ht="15" customHeight="1">
      <c r="A23" s="673"/>
      <c r="B23" s="166"/>
      <c r="C23" s="164" t="s">
        <v>363</v>
      </c>
      <c r="D23" s="165">
        <v>4.07</v>
      </c>
      <c r="G23" s="166"/>
      <c r="H23" s="166"/>
      <c r="I23" s="172" t="s">
        <v>364</v>
      </c>
      <c r="J23" s="681">
        <v>0.63</v>
      </c>
      <c r="K23" s="681">
        <v>0.27</v>
      </c>
      <c r="L23" s="681">
        <v>0.14000000000000001</v>
      </c>
    </row>
    <row r="24" spans="1:12" ht="15" customHeight="1">
      <c r="A24" s="673"/>
      <c r="B24" s="166"/>
      <c r="C24" s="164" t="s">
        <v>365</v>
      </c>
      <c r="D24" s="165">
        <v>4.6500000000000004</v>
      </c>
      <c r="G24" s="161"/>
      <c r="H24" s="173"/>
      <c r="I24" s="161" t="s">
        <v>366</v>
      </c>
      <c r="J24" s="682"/>
      <c r="K24" s="682"/>
      <c r="L24" s="682"/>
    </row>
    <row r="25" spans="1:12" ht="15" customHeight="1">
      <c r="A25" s="674"/>
      <c r="B25" s="161"/>
      <c r="C25" s="173" t="s">
        <v>343</v>
      </c>
      <c r="D25" s="174">
        <v>6.51</v>
      </c>
    </row>
    <row r="26" spans="1:12" ht="15" customHeight="1">
      <c r="A26" s="175" t="s">
        <v>367</v>
      </c>
      <c r="B26" s="169" t="s">
        <v>368</v>
      </c>
      <c r="C26" s="170" t="s">
        <v>369</v>
      </c>
      <c r="D26" s="165">
        <v>1.9</v>
      </c>
      <c r="G26" s="176" t="s">
        <v>370</v>
      </c>
      <c r="H26" s="177"/>
      <c r="I26" s="177"/>
      <c r="J26" s="157"/>
      <c r="K26" s="157"/>
      <c r="L26" s="157"/>
    </row>
    <row r="27" spans="1:12" ht="15" customHeight="1">
      <c r="A27" s="166"/>
      <c r="B27" s="166"/>
      <c r="C27" s="170" t="s">
        <v>371</v>
      </c>
      <c r="D27" s="165">
        <v>2.33</v>
      </c>
      <c r="G27" s="675" t="s">
        <v>329</v>
      </c>
      <c r="H27" s="676"/>
      <c r="I27" s="677"/>
      <c r="J27" s="660" t="s">
        <v>330</v>
      </c>
      <c r="K27" s="661"/>
      <c r="L27" s="662"/>
    </row>
    <row r="28" spans="1:12" ht="15" customHeight="1">
      <c r="A28" s="166"/>
      <c r="B28" s="166"/>
      <c r="C28" s="170" t="s">
        <v>372</v>
      </c>
      <c r="D28" s="165">
        <v>2.33</v>
      </c>
      <c r="G28" s="678"/>
      <c r="H28" s="679"/>
      <c r="I28" s="680"/>
      <c r="J28" s="167" t="s">
        <v>373</v>
      </c>
      <c r="K28" s="167" t="s">
        <v>333</v>
      </c>
      <c r="L28" s="168" t="s">
        <v>334</v>
      </c>
    </row>
    <row r="29" spans="1:12" ht="15" customHeight="1">
      <c r="A29" s="166"/>
      <c r="B29" s="166"/>
      <c r="C29" s="170" t="s">
        <v>374</v>
      </c>
      <c r="D29" s="165">
        <v>2.91</v>
      </c>
      <c r="G29" s="169" t="s">
        <v>336</v>
      </c>
      <c r="H29" s="663" t="s">
        <v>337</v>
      </c>
      <c r="I29" s="164" t="s">
        <v>338</v>
      </c>
      <c r="J29" s="165">
        <v>0.43</v>
      </c>
      <c r="K29" s="165">
        <v>0.27</v>
      </c>
      <c r="L29" s="165">
        <v>0.1</v>
      </c>
    </row>
    <row r="30" spans="1:12" ht="28.5" customHeight="1">
      <c r="A30" s="161"/>
      <c r="B30" s="178" t="s">
        <v>375</v>
      </c>
      <c r="C30" s="179" t="s">
        <v>376</v>
      </c>
      <c r="D30" s="180">
        <v>3.49</v>
      </c>
      <c r="G30" s="166"/>
      <c r="H30" s="663"/>
      <c r="I30" s="164" t="s">
        <v>340</v>
      </c>
      <c r="J30" s="165">
        <v>0.26</v>
      </c>
      <c r="K30" s="165">
        <v>0.18</v>
      </c>
      <c r="L30" s="165">
        <v>0.06</v>
      </c>
    </row>
    <row r="31" spans="1:12">
      <c r="A31" s="669" t="s">
        <v>377</v>
      </c>
      <c r="B31" s="169" t="s">
        <v>378</v>
      </c>
      <c r="C31" s="164" t="s">
        <v>379</v>
      </c>
      <c r="D31" s="181">
        <v>2.33</v>
      </c>
      <c r="G31" s="166"/>
      <c r="H31" s="664" t="s">
        <v>342</v>
      </c>
      <c r="I31" s="164" t="s">
        <v>338</v>
      </c>
      <c r="J31" s="165">
        <v>0.47</v>
      </c>
      <c r="K31" s="165">
        <v>0.3</v>
      </c>
      <c r="L31" s="165">
        <v>0.11</v>
      </c>
    </row>
    <row r="32" spans="1:12">
      <c r="A32" s="669"/>
      <c r="B32" s="161"/>
      <c r="C32" s="164" t="s">
        <v>339</v>
      </c>
      <c r="D32" s="181">
        <v>2.91</v>
      </c>
      <c r="G32" s="166"/>
      <c r="H32" s="665"/>
      <c r="I32" s="164" t="s">
        <v>340</v>
      </c>
      <c r="J32" s="165">
        <v>0.3</v>
      </c>
      <c r="K32" s="165">
        <v>0.2</v>
      </c>
      <c r="L32" s="165">
        <v>0.08</v>
      </c>
    </row>
    <row r="33" spans="1:12">
      <c r="A33" s="669"/>
      <c r="B33" s="169" t="s">
        <v>380</v>
      </c>
      <c r="C33" s="161" t="s">
        <v>379</v>
      </c>
      <c r="D33" s="181">
        <v>2.33</v>
      </c>
      <c r="G33" s="169" t="s">
        <v>345</v>
      </c>
      <c r="H33" s="664" t="s">
        <v>346</v>
      </c>
      <c r="I33" s="164" t="s">
        <v>338</v>
      </c>
      <c r="J33" s="165">
        <v>0.51</v>
      </c>
      <c r="K33" s="165">
        <v>0.3</v>
      </c>
      <c r="L33" s="165">
        <v>0.12</v>
      </c>
    </row>
    <row r="34" spans="1:12" ht="27">
      <c r="A34" s="669"/>
      <c r="B34" s="182" t="s">
        <v>381</v>
      </c>
      <c r="C34" s="167" t="s">
        <v>339</v>
      </c>
      <c r="D34" s="183">
        <v>2.91</v>
      </c>
      <c r="G34" s="166"/>
      <c r="H34" s="665"/>
      <c r="I34" s="164" t="s">
        <v>340</v>
      </c>
      <c r="J34" s="165">
        <v>0.32</v>
      </c>
      <c r="K34" s="165">
        <v>0.21</v>
      </c>
      <c r="L34" s="165">
        <v>0.09</v>
      </c>
    </row>
    <row r="35" spans="1:12">
      <c r="A35" s="669"/>
      <c r="B35" s="184" t="s">
        <v>382</v>
      </c>
      <c r="C35" s="161" t="s">
        <v>383</v>
      </c>
      <c r="D35" s="181">
        <v>4.6500000000000004</v>
      </c>
      <c r="G35" s="166"/>
      <c r="H35" s="666" t="s">
        <v>348</v>
      </c>
      <c r="I35" s="170" t="s">
        <v>349</v>
      </c>
      <c r="J35" s="165">
        <v>0.49</v>
      </c>
      <c r="K35" s="165">
        <v>0.26</v>
      </c>
      <c r="L35" s="165">
        <v>0.11</v>
      </c>
    </row>
    <row r="36" spans="1:12" ht="15" customHeight="1">
      <c r="A36" s="669"/>
      <c r="B36" s="185" t="s">
        <v>384</v>
      </c>
      <c r="C36" s="164" t="s">
        <v>383</v>
      </c>
      <c r="D36" s="183">
        <v>4.07</v>
      </c>
      <c r="G36" s="166"/>
      <c r="H36" s="667"/>
      <c r="I36" s="170" t="s">
        <v>351</v>
      </c>
      <c r="J36" s="165">
        <v>0.3</v>
      </c>
      <c r="K36" s="165">
        <v>0.19</v>
      </c>
      <c r="L36" s="165">
        <v>0.08</v>
      </c>
    </row>
    <row r="37" spans="1:12" ht="15" customHeight="1">
      <c r="A37" s="669"/>
      <c r="B37" s="185" t="s">
        <v>385</v>
      </c>
      <c r="C37" s="164" t="s">
        <v>383</v>
      </c>
      <c r="D37" s="183">
        <v>4.6500000000000004</v>
      </c>
      <c r="G37" s="166"/>
      <c r="H37" s="667"/>
      <c r="I37" s="170" t="s">
        <v>353</v>
      </c>
      <c r="J37" s="165">
        <v>0.13</v>
      </c>
      <c r="K37" s="165">
        <v>0.1</v>
      </c>
      <c r="L37" s="165">
        <v>0.05</v>
      </c>
    </row>
    <row r="38" spans="1:12" ht="17.25" customHeight="1">
      <c r="G38" s="166"/>
      <c r="H38" s="668"/>
      <c r="I38" s="170" t="s">
        <v>356</v>
      </c>
      <c r="J38" s="165">
        <v>0.42</v>
      </c>
      <c r="K38" s="165">
        <v>0.22</v>
      </c>
      <c r="L38" s="165">
        <v>0.1</v>
      </c>
    </row>
    <row r="39" spans="1:12">
      <c r="G39" s="166"/>
      <c r="H39" s="158" t="s">
        <v>357</v>
      </c>
      <c r="I39" s="171"/>
      <c r="J39" s="165">
        <v>0.63</v>
      </c>
      <c r="K39" s="165">
        <v>0.3</v>
      </c>
      <c r="L39" s="165">
        <v>0.14000000000000001</v>
      </c>
    </row>
    <row r="40" spans="1:12">
      <c r="G40" s="161"/>
      <c r="H40" s="158" t="s">
        <v>358</v>
      </c>
      <c r="I40" s="160"/>
      <c r="J40" s="165">
        <v>0.63</v>
      </c>
      <c r="K40" s="165">
        <v>0.3</v>
      </c>
      <c r="L40" s="165">
        <v>0.14000000000000001</v>
      </c>
    </row>
    <row r="41" spans="1:12">
      <c r="G41" s="169" t="s">
        <v>360</v>
      </c>
      <c r="H41" s="169"/>
      <c r="I41" s="170" t="s">
        <v>349</v>
      </c>
      <c r="J41" s="165">
        <v>0.54</v>
      </c>
      <c r="K41" s="165">
        <v>0.28000000000000003</v>
      </c>
      <c r="L41" s="165">
        <v>0.13</v>
      </c>
    </row>
    <row r="42" spans="1:12">
      <c r="G42" s="166"/>
      <c r="H42" s="166"/>
      <c r="I42" s="170" t="s">
        <v>351</v>
      </c>
      <c r="J42" s="165">
        <v>0.39</v>
      </c>
      <c r="K42" s="165">
        <v>0.24</v>
      </c>
      <c r="L42" s="165">
        <v>0.1</v>
      </c>
    </row>
    <row r="43" spans="1:12">
      <c r="G43" s="166"/>
      <c r="H43" s="166" t="s">
        <v>361</v>
      </c>
      <c r="I43" s="170" t="s">
        <v>353</v>
      </c>
      <c r="J43" s="165">
        <v>0.18</v>
      </c>
      <c r="K43" s="165">
        <v>0.16</v>
      </c>
      <c r="L43" s="165">
        <v>0.06</v>
      </c>
    </row>
    <row r="44" spans="1:12">
      <c r="G44" s="166"/>
      <c r="H44" s="166"/>
      <c r="I44" s="170" t="s">
        <v>356</v>
      </c>
      <c r="J44" s="165">
        <v>0.5</v>
      </c>
      <c r="K44" s="165">
        <v>0.27</v>
      </c>
      <c r="L44" s="165">
        <v>0.12</v>
      </c>
    </row>
    <row r="45" spans="1:12">
      <c r="G45" s="166"/>
      <c r="H45" s="166"/>
      <c r="I45" s="172" t="s">
        <v>364</v>
      </c>
      <c r="J45" s="681">
        <v>0.7</v>
      </c>
      <c r="K45" s="681">
        <v>0.3</v>
      </c>
      <c r="L45" s="681">
        <v>0.15</v>
      </c>
    </row>
    <row r="46" spans="1:12">
      <c r="G46" s="161"/>
      <c r="H46" s="173"/>
      <c r="I46" s="161" t="s">
        <v>366</v>
      </c>
      <c r="J46" s="682"/>
      <c r="K46" s="682"/>
      <c r="L46" s="682"/>
    </row>
    <row r="72" spans="4:14">
      <c r="D72" s="186" t="s">
        <v>386</v>
      </c>
    </row>
    <row r="74" spans="4:14">
      <c r="D74" s="186"/>
      <c r="N74" s="186"/>
    </row>
    <row r="76" spans="4:14" ht="15" customHeight="1"/>
  </sheetData>
  <mergeCells count="21">
    <mergeCell ref="J45:J46"/>
    <mergeCell ref="K45:K46"/>
    <mergeCell ref="L45:L46"/>
    <mergeCell ref="L23:L24"/>
    <mergeCell ref="G27:I28"/>
    <mergeCell ref="J27:L27"/>
    <mergeCell ref="H29:H30"/>
    <mergeCell ref="J23:J24"/>
    <mergeCell ref="K23:K24"/>
    <mergeCell ref="A31:A37"/>
    <mergeCell ref="H31:H32"/>
    <mergeCell ref="H33:H34"/>
    <mergeCell ref="H35:H38"/>
    <mergeCell ref="D3:D4"/>
    <mergeCell ref="A5:A25"/>
    <mergeCell ref="G5:I6"/>
    <mergeCell ref="J5:L5"/>
    <mergeCell ref="H7:H8"/>
    <mergeCell ref="H9:H10"/>
    <mergeCell ref="H11:H12"/>
    <mergeCell ref="H13:H16"/>
  </mergeCells>
  <phoneticPr fontId="2"/>
  <pageMargins left="0.62" right="0.37" top="0.27" bottom="0.2" header="0.2" footer="0.2"/>
  <pageSetup paperSize="9" scale="83" orientation="portrait" r:id="rId1"/>
  <colBreaks count="1" manualBreakCount="1">
    <brk id="5" min="1" max="70"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37" sqref="F37"/>
    </sheetView>
  </sheetViews>
  <sheetFormatPr defaultRowHeight="13.5"/>
  <sheetData/>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B1:AN147"/>
  <sheetViews>
    <sheetView showGridLines="0" tabSelected="1" view="pageBreakPreview" zoomScaleNormal="100" zoomScaleSheetLayoutView="100" workbookViewId="0">
      <selection activeCell="K6" sqref="K6:AC6"/>
    </sheetView>
  </sheetViews>
  <sheetFormatPr defaultRowHeight="13.5"/>
  <cols>
    <col min="1" max="1" width="0.75" customWidth="1"/>
    <col min="2" max="31" width="3.625" customWidth="1"/>
    <col min="32" max="32" width="8" hidden="1" customWidth="1"/>
    <col min="33" max="38" width="10.625" hidden="1" customWidth="1"/>
    <col min="39" max="53" width="3.625" customWidth="1"/>
  </cols>
  <sheetData>
    <row r="1" spans="2:40" ht="4.5" customHeight="1"/>
    <row r="2" spans="2:40" ht="30" customHeight="1">
      <c r="B2" s="248" t="s">
        <v>181</v>
      </c>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row>
    <row r="3" spans="2:40" ht="24.95" customHeight="1">
      <c r="B3" s="249" t="s">
        <v>180</v>
      </c>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row>
    <row r="4" spans="2:40" ht="30" customHeight="1">
      <c r="AG4" s="247" t="s">
        <v>94</v>
      </c>
      <c r="AH4" s="247"/>
      <c r="AI4" s="247"/>
      <c r="AJ4" s="247"/>
      <c r="AK4" s="247"/>
      <c r="AL4" s="247"/>
    </row>
    <row r="5" spans="2:40" ht="30" customHeight="1" thickBot="1">
      <c r="B5" s="4" t="s">
        <v>26</v>
      </c>
      <c r="AF5" s="57"/>
      <c r="AG5" s="226" t="s">
        <v>151</v>
      </c>
      <c r="AH5" s="226"/>
      <c r="AI5" s="226" t="s">
        <v>152</v>
      </c>
      <c r="AJ5" s="226"/>
      <c r="AK5" s="226" t="s">
        <v>153</v>
      </c>
      <c r="AL5" s="226"/>
    </row>
    <row r="6" spans="2:40" s="2" customFormat="1" ht="30" customHeight="1">
      <c r="B6" s="257" t="s">
        <v>27</v>
      </c>
      <c r="C6" s="258"/>
      <c r="D6" s="258"/>
      <c r="E6" s="258"/>
      <c r="F6" s="258"/>
      <c r="G6" s="258"/>
      <c r="H6" s="258"/>
      <c r="I6" s="259"/>
      <c r="J6" s="13"/>
      <c r="K6" s="260" t="s">
        <v>398</v>
      </c>
      <c r="L6" s="260"/>
      <c r="M6" s="260"/>
      <c r="N6" s="260"/>
      <c r="O6" s="260"/>
      <c r="P6" s="260"/>
      <c r="Q6" s="260"/>
      <c r="R6" s="260"/>
      <c r="S6" s="260"/>
      <c r="T6" s="260"/>
      <c r="U6" s="260"/>
      <c r="V6" s="260"/>
      <c r="W6" s="260"/>
      <c r="X6" s="260"/>
      <c r="Y6" s="260"/>
      <c r="Z6" s="260"/>
      <c r="AA6" s="260"/>
      <c r="AB6" s="260"/>
      <c r="AC6" s="261"/>
      <c r="AF6" s="57"/>
      <c r="AG6" s="58" t="s">
        <v>154</v>
      </c>
      <c r="AH6" s="58" t="s">
        <v>155</v>
      </c>
      <c r="AI6" s="58" t="s">
        <v>154</v>
      </c>
      <c r="AJ6" s="58" t="s">
        <v>155</v>
      </c>
      <c r="AK6" s="58" t="s">
        <v>154</v>
      </c>
      <c r="AL6" s="58" t="s">
        <v>155</v>
      </c>
    </row>
    <row r="7" spans="2:40" s="2" customFormat="1" ht="30" customHeight="1">
      <c r="B7" s="250" t="s">
        <v>28</v>
      </c>
      <c r="C7" s="251"/>
      <c r="D7" s="251"/>
      <c r="E7" s="251"/>
      <c r="F7" s="251"/>
      <c r="G7" s="251"/>
      <c r="H7" s="251"/>
      <c r="I7" s="252"/>
      <c r="J7" s="14"/>
      <c r="K7" s="253"/>
      <c r="L7" s="253"/>
      <c r="M7" s="253"/>
      <c r="N7" s="253"/>
      <c r="O7" s="253"/>
      <c r="P7" s="253"/>
      <c r="Q7" s="253"/>
      <c r="R7" s="253"/>
      <c r="S7" s="253"/>
      <c r="T7" s="253"/>
      <c r="U7" s="253"/>
      <c r="V7" s="253"/>
      <c r="W7" s="254"/>
      <c r="X7" s="255" t="s">
        <v>30</v>
      </c>
      <c r="Y7" s="256"/>
      <c r="Z7" s="256"/>
      <c r="AA7" s="227" t="s">
        <v>234</v>
      </c>
      <c r="AB7" s="227"/>
      <c r="AC7" s="228"/>
      <c r="AF7" s="58" t="s">
        <v>183</v>
      </c>
      <c r="AG7" s="58">
        <v>0.46</v>
      </c>
      <c r="AH7" s="59" t="s">
        <v>156</v>
      </c>
      <c r="AI7" s="58">
        <v>0.54</v>
      </c>
      <c r="AJ7" s="59" t="s">
        <v>156</v>
      </c>
      <c r="AK7" s="58">
        <v>0.72</v>
      </c>
      <c r="AL7" s="59" t="s">
        <v>156</v>
      </c>
    </row>
    <row r="8" spans="2:40" s="2" customFormat="1" ht="30" customHeight="1" thickBot="1">
      <c r="B8" s="237" t="s">
        <v>29</v>
      </c>
      <c r="C8" s="238"/>
      <c r="D8" s="238"/>
      <c r="E8" s="238"/>
      <c r="F8" s="238"/>
      <c r="G8" s="238"/>
      <c r="H8" s="238"/>
      <c r="I8" s="239"/>
      <c r="J8" s="12"/>
      <c r="K8" s="21"/>
      <c r="L8" s="21"/>
      <c r="M8" s="262" t="s">
        <v>31</v>
      </c>
      <c r="N8" s="262"/>
      <c r="O8" s="263">
        <v>2</v>
      </c>
      <c r="P8" s="263"/>
      <c r="Q8" s="21" t="s">
        <v>2</v>
      </c>
      <c r="R8" s="262" t="s">
        <v>32</v>
      </c>
      <c r="S8" s="262"/>
      <c r="T8" s="263"/>
      <c r="U8" s="263"/>
      <c r="V8" s="21" t="s">
        <v>2</v>
      </c>
      <c r="W8" s="21"/>
      <c r="X8" s="21"/>
      <c r="Y8" s="21"/>
      <c r="Z8" s="21"/>
      <c r="AA8" s="21"/>
      <c r="AB8" s="21"/>
      <c r="AC8" s="22"/>
      <c r="AF8" s="58" t="s">
        <v>184</v>
      </c>
      <c r="AG8" s="58">
        <v>0.46</v>
      </c>
      <c r="AH8" s="59" t="s">
        <v>156</v>
      </c>
      <c r="AI8" s="58">
        <v>0.54</v>
      </c>
      <c r="AJ8" s="59" t="s">
        <v>156</v>
      </c>
      <c r="AK8" s="58">
        <v>0.72</v>
      </c>
      <c r="AL8" s="59" t="s">
        <v>156</v>
      </c>
    </row>
    <row r="9" spans="2:40" s="2" customFormat="1" ht="30" customHeight="1">
      <c r="AF9" s="58" t="s">
        <v>185</v>
      </c>
      <c r="AG9" s="58">
        <v>0.56000000000000005</v>
      </c>
      <c r="AH9" s="59" t="s">
        <v>156</v>
      </c>
      <c r="AI9" s="58">
        <v>1.04</v>
      </c>
      <c r="AJ9" s="59" t="s">
        <v>156</v>
      </c>
      <c r="AK9" s="58">
        <v>1.21</v>
      </c>
      <c r="AL9" s="59" t="s">
        <v>156</v>
      </c>
    </row>
    <row r="10" spans="2:40" s="2" customFormat="1" ht="30" customHeight="1" thickBot="1">
      <c r="B10" s="4" t="s">
        <v>33</v>
      </c>
      <c r="AF10" s="58" t="s">
        <v>186</v>
      </c>
      <c r="AG10" s="58">
        <v>0.75</v>
      </c>
      <c r="AH10" s="59" t="s">
        <v>156</v>
      </c>
      <c r="AI10" s="58">
        <v>1.25</v>
      </c>
      <c r="AJ10" s="59" t="s">
        <v>156</v>
      </c>
      <c r="AK10" s="58">
        <v>1.47</v>
      </c>
      <c r="AL10" s="59" t="s">
        <v>156</v>
      </c>
    </row>
    <row r="11" spans="2:40" s="2" customFormat="1" ht="30" customHeight="1">
      <c r="B11" s="244" t="s">
        <v>174</v>
      </c>
      <c r="C11" s="245"/>
      <c r="D11" s="245"/>
      <c r="E11" s="245"/>
      <c r="F11" s="245"/>
      <c r="G11" s="245"/>
      <c r="H11" s="245"/>
      <c r="I11" s="246"/>
      <c r="J11" s="264">
        <f>ROUND('Ａ（北）'!L41+'Ａ（北東）'!L41+'Ａ（東）'!L41+'Ａ（南東）'!L41+'Ａ（南）'!L41+'Ａ（南西）'!L41+'Ａ（西）'!L41+'Ａ（北西）'!L41+'Ｂ（屋根・床等）'!P30+'Ｃ（基礎）'!H12,2)</f>
        <v>308.08</v>
      </c>
      <c r="K11" s="265"/>
      <c r="L11" s="265"/>
      <c r="M11" s="266" t="s">
        <v>24</v>
      </c>
      <c r="N11" s="267"/>
      <c r="O11" s="244" t="s">
        <v>177</v>
      </c>
      <c r="P11" s="245"/>
      <c r="Q11" s="245"/>
      <c r="R11" s="245"/>
      <c r="S11" s="245"/>
      <c r="T11" s="245"/>
      <c r="U11" s="245"/>
      <c r="V11" s="245"/>
      <c r="W11" s="246"/>
      <c r="X11" s="242">
        <f>IF(AH20=0,0,ROUNDUP((AH20/J11)*100,1))</f>
        <v>2.4</v>
      </c>
      <c r="Y11" s="243"/>
      <c r="Z11" s="243"/>
      <c r="AA11" s="243"/>
      <c r="AB11" s="82"/>
      <c r="AC11" s="83"/>
      <c r="AF11" s="58" t="s">
        <v>187</v>
      </c>
      <c r="AG11" s="58">
        <v>0.87</v>
      </c>
      <c r="AH11" s="59">
        <v>3</v>
      </c>
      <c r="AI11" s="58">
        <v>1.54</v>
      </c>
      <c r="AJ11" s="59">
        <v>4</v>
      </c>
      <c r="AK11" s="58">
        <v>1.67</v>
      </c>
      <c r="AL11" s="59" t="s">
        <v>156</v>
      </c>
    </row>
    <row r="12" spans="2:40" s="2" customFormat="1" ht="30" customHeight="1" thickBot="1">
      <c r="B12" s="237" t="s">
        <v>175</v>
      </c>
      <c r="C12" s="238"/>
      <c r="D12" s="238"/>
      <c r="E12" s="238"/>
      <c r="F12" s="238"/>
      <c r="G12" s="238"/>
      <c r="H12" s="238"/>
      <c r="I12" s="239"/>
      <c r="J12" s="232">
        <f>IF(AH19=0,0,ROUNDUP(AH19/J11,2))</f>
        <v>0.74</v>
      </c>
      <c r="K12" s="232"/>
      <c r="L12" s="232"/>
      <c r="M12" s="268" t="s">
        <v>176</v>
      </c>
      <c r="N12" s="269"/>
      <c r="O12" s="237" t="s">
        <v>178</v>
      </c>
      <c r="P12" s="238"/>
      <c r="Q12" s="238"/>
      <c r="R12" s="238"/>
      <c r="S12" s="238"/>
      <c r="T12" s="238"/>
      <c r="U12" s="238"/>
      <c r="V12" s="238"/>
      <c r="W12" s="239"/>
      <c r="X12" s="231">
        <f>IF(AH21=0,0,ROUNDDOWN((AH21/J11)*100,1))</f>
        <v>2.2999999999999998</v>
      </c>
      <c r="Y12" s="232"/>
      <c r="Z12" s="232"/>
      <c r="AA12" s="232"/>
      <c r="AB12" s="229"/>
      <c r="AC12" s="230"/>
      <c r="AF12" s="58" t="s">
        <v>188</v>
      </c>
      <c r="AG12" s="58">
        <v>0.87</v>
      </c>
      <c r="AH12" s="59">
        <v>2.8</v>
      </c>
      <c r="AI12" s="58">
        <v>1.54</v>
      </c>
      <c r="AJ12" s="59">
        <v>3.8</v>
      </c>
      <c r="AK12" s="58">
        <v>1.67</v>
      </c>
      <c r="AL12" s="59" t="s">
        <v>156</v>
      </c>
    </row>
    <row r="13" spans="2:40" s="2" customFormat="1" ht="30" customHeight="1">
      <c r="B13" s="41"/>
      <c r="C13" s="41"/>
      <c r="D13" s="41"/>
      <c r="E13" s="41"/>
      <c r="F13" s="41"/>
      <c r="G13" s="41"/>
      <c r="H13" s="41"/>
      <c r="I13" s="41"/>
      <c r="J13" s="60"/>
      <c r="K13" s="60"/>
      <c r="L13" s="60"/>
      <c r="M13" s="78"/>
      <c r="N13" s="81"/>
      <c r="AF13" s="58" t="s">
        <v>189</v>
      </c>
      <c r="AG13" s="58">
        <v>0.87</v>
      </c>
      <c r="AH13" s="59">
        <v>2.7</v>
      </c>
      <c r="AI13" s="58">
        <v>1.81</v>
      </c>
      <c r="AJ13" s="59">
        <v>4</v>
      </c>
      <c r="AK13" s="58">
        <v>2.35</v>
      </c>
      <c r="AL13" s="59" t="s">
        <v>156</v>
      </c>
      <c r="AM13" s="60"/>
      <c r="AN13" s="60"/>
    </row>
    <row r="14" spans="2:40" s="2" customFormat="1" ht="30" customHeight="1">
      <c r="O14" s="6"/>
      <c r="P14" s="6"/>
      <c r="Q14" s="6"/>
      <c r="R14" s="6"/>
      <c r="S14" s="6"/>
      <c r="T14" s="6"/>
      <c r="U14" s="6"/>
      <c r="V14" s="6"/>
      <c r="W14" s="6"/>
      <c r="X14" s="6"/>
      <c r="Y14" s="6"/>
      <c r="Z14" s="18"/>
      <c r="AA14" s="20"/>
      <c r="AB14" s="20"/>
      <c r="AC14" s="19"/>
      <c r="AF14" s="58" t="s">
        <v>190</v>
      </c>
      <c r="AG14" s="58" t="s">
        <v>156</v>
      </c>
      <c r="AH14" s="59">
        <v>3.2</v>
      </c>
      <c r="AI14" s="58" t="s">
        <v>156</v>
      </c>
      <c r="AJ14" s="59">
        <v>4.5</v>
      </c>
      <c r="AK14" s="58" t="s">
        <v>156</v>
      </c>
      <c r="AL14" s="59" t="s">
        <v>156</v>
      </c>
    </row>
    <row r="15" spans="2:40" s="2" customFormat="1" ht="30" customHeight="1" thickBot="1">
      <c r="B15" s="4" t="s">
        <v>95</v>
      </c>
    </row>
    <row r="16" spans="2:40" s="2" customFormat="1" ht="30" customHeight="1" thickBot="1">
      <c r="B16" s="276"/>
      <c r="C16" s="277"/>
      <c r="D16" s="277"/>
      <c r="E16" s="277"/>
      <c r="F16" s="277"/>
      <c r="G16" s="277"/>
      <c r="H16" s="277"/>
      <c r="I16" s="278"/>
      <c r="J16" s="279" t="s">
        <v>96</v>
      </c>
      <c r="K16" s="280"/>
      <c r="L16" s="280"/>
      <c r="M16" s="280"/>
      <c r="N16" s="280"/>
      <c r="O16" s="280" t="s">
        <v>97</v>
      </c>
      <c r="P16" s="280"/>
      <c r="Q16" s="280"/>
      <c r="R16" s="280"/>
      <c r="S16" s="280"/>
      <c r="T16" s="281" t="s">
        <v>98</v>
      </c>
      <c r="U16" s="281"/>
      <c r="V16" s="281"/>
      <c r="W16" s="281"/>
      <c r="X16" s="282"/>
      <c r="Z16" s="63"/>
      <c r="AA16" s="217" t="s">
        <v>157</v>
      </c>
      <c r="AB16" s="218"/>
      <c r="AC16" s="219"/>
    </row>
    <row r="17" spans="2:38" s="2" customFormat="1" ht="30" customHeight="1">
      <c r="B17" s="283" t="s">
        <v>191</v>
      </c>
      <c r="C17" s="218"/>
      <c r="D17" s="218"/>
      <c r="E17" s="218"/>
      <c r="F17" s="218"/>
      <c r="G17" s="218"/>
      <c r="H17" s="218"/>
      <c r="I17" s="218"/>
      <c r="J17" s="284">
        <f>J12</f>
        <v>0.74</v>
      </c>
      <c r="K17" s="285"/>
      <c r="L17" s="285"/>
      <c r="M17" s="286" t="s">
        <v>34</v>
      </c>
      <c r="N17" s="287"/>
      <c r="O17" s="288">
        <f>IF(AF17=1,AG17,IF(AF17=2,AI17,IF(AF17=3,AK17,"-")))</f>
        <v>0.87</v>
      </c>
      <c r="P17" s="285"/>
      <c r="Q17" s="285"/>
      <c r="R17" s="286" t="s">
        <v>34</v>
      </c>
      <c r="S17" s="287"/>
      <c r="T17" s="235" t="str">
        <f>IF(O17="-","",(IF(O17&gt;=J17,"適合","不適合")))</f>
        <v>適合</v>
      </c>
      <c r="U17" s="235"/>
      <c r="V17" s="235"/>
      <c r="W17" s="235"/>
      <c r="X17" s="236"/>
      <c r="Z17" s="64"/>
      <c r="AA17" s="220" t="s">
        <v>158</v>
      </c>
      <c r="AB17" s="221"/>
      <c r="AC17" s="222"/>
      <c r="AF17" s="76">
        <v>1</v>
      </c>
      <c r="AG17" s="61">
        <f>VLOOKUP(AA7,$AF$7:$AL$14,2,FALSE)</f>
        <v>0.87</v>
      </c>
      <c r="AH17" s="62">
        <f>VLOOKUP(AA7,$AF$7:$AL$14,3,FALSE)</f>
        <v>2.8</v>
      </c>
      <c r="AI17" s="61">
        <f>VLOOKUP(AA7,$AF$7:$AL$14,4,FALSE)</f>
        <v>1.54</v>
      </c>
      <c r="AJ17" s="62">
        <f>VLOOKUP(AA7,$AF$7:$AL$14,5,FALSE)</f>
        <v>3.8</v>
      </c>
      <c r="AK17" s="61">
        <f>VLOOKUP(AA7,$AF$7:$AL$14,6,FALSE)</f>
        <v>1.67</v>
      </c>
      <c r="AL17" s="61" t="str">
        <f>VLOOKUP(AA7,$AF$7:$AL$14,7,FALSE)</f>
        <v>-</v>
      </c>
    </row>
    <row r="18" spans="2:38" s="2" customFormat="1" ht="30" customHeight="1" thickBot="1">
      <c r="B18" s="272" t="s">
        <v>179</v>
      </c>
      <c r="C18" s="273"/>
      <c r="D18" s="273"/>
      <c r="E18" s="273"/>
      <c r="F18" s="273"/>
      <c r="G18" s="273"/>
      <c r="H18" s="273"/>
      <c r="I18" s="273"/>
      <c r="J18" s="231">
        <f>X11</f>
        <v>2.4</v>
      </c>
      <c r="K18" s="232"/>
      <c r="L18" s="232"/>
      <c r="M18" s="240"/>
      <c r="N18" s="241"/>
      <c r="O18" s="274">
        <f>IF(AF17=1,AH17,IF(AF17=2,AJ17,IF(AF17=3,AL17,"-")))</f>
        <v>2.8</v>
      </c>
      <c r="P18" s="275"/>
      <c r="Q18" s="275"/>
      <c r="R18" s="240"/>
      <c r="S18" s="241"/>
      <c r="T18" s="233" t="str">
        <f>IF(O18="-","",(IF(O18&gt;=J18,"適合","不適合")))</f>
        <v>適合</v>
      </c>
      <c r="U18" s="233"/>
      <c r="V18" s="233"/>
      <c r="W18" s="233"/>
      <c r="X18" s="234"/>
      <c r="Z18" s="65"/>
      <c r="AA18" s="223" t="s">
        <v>159</v>
      </c>
      <c r="AB18" s="224"/>
      <c r="AC18" s="225"/>
    </row>
    <row r="19" spans="2:38" s="2" customFormat="1" ht="30" customHeight="1">
      <c r="AF19" s="216" t="s">
        <v>173</v>
      </c>
      <c r="AG19" s="80" t="s">
        <v>182</v>
      </c>
      <c r="AH19" s="77">
        <f>'Ａ（北）'!W44+'Ａ（北東）'!W44+'Ａ（東）'!W44+'Ａ（南東）'!W44+'Ａ（南）'!W44+'Ａ（南西）'!W44+'Ａ（西）'!W44+'Ａ（北西）'!W44+'Ｂ（屋根・床等）'!W33+'Ｃ（基礎）'!L35</f>
        <v>226.3335486008877</v>
      </c>
    </row>
    <row r="20" spans="2:38" s="2" customFormat="1" ht="30" customHeight="1">
      <c r="AF20" s="216"/>
      <c r="AG20" s="79" t="s">
        <v>171</v>
      </c>
      <c r="AH20" s="77">
        <f>'Ａ（北）'!W42+'Ａ（北東）'!W42+'Ａ（東）'!W42+'Ａ（南東）'!W42+'Ａ（南）'!W42+'Ａ（南西）'!W42+'Ａ（西）'!W42+'Ａ（北西）'!W42+'Ｂ（屋根・床等）'!W31</f>
        <v>7.1106751551000009</v>
      </c>
    </row>
    <row r="21" spans="2:38" s="2" customFormat="1" ht="30" customHeight="1">
      <c r="C21" s="6"/>
      <c r="D21" s="6"/>
      <c r="E21" s="6"/>
      <c r="F21" s="6"/>
      <c r="G21" s="6"/>
      <c r="H21" s="6"/>
      <c r="I21" s="6"/>
      <c r="J21" s="6"/>
      <c r="K21" s="6"/>
      <c r="L21" s="6"/>
      <c r="M21" s="6"/>
      <c r="N21" s="6"/>
      <c r="O21" s="6"/>
      <c r="P21" s="6"/>
      <c r="Q21" s="6"/>
      <c r="R21" s="6"/>
      <c r="S21" s="6"/>
      <c r="T21" s="6"/>
      <c r="U21" s="6"/>
      <c r="V21" s="6"/>
      <c r="W21" s="6"/>
      <c r="X21" s="6"/>
      <c r="Y21" s="6"/>
      <c r="Z21" s="6"/>
      <c r="AA21" s="6"/>
      <c r="AB21" s="6"/>
      <c r="AF21" s="216"/>
      <c r="AG21" s="79" t="s">
        <v>172</v>
      </c>
      <c r="AH21" s="77">
        <f>'Ａ（北）'!W43+'Ａ（北東）'!W43+'Ａ（東）'!W43+'Ａ（南東）'!W43+'Ａ（南）'!W43+'Ａ（南西）'!W43+'Ａ（西）'!W43+'Ａ（北西）'!W43+'Ｂ（屋根・床等）'!W32</f>
        <v>7.2488469693000015</v>
      </c>
    </row>
    <row r="22" spans="2:38" s="2" customFormat="1" ht="30" customHeight="1">
      <c r="C22" s="5"/>
      <c r="D22" s="5"/>
      <c r="E22" s="5"/>
      <c r="F22" s="5"/>
      <c r="G22" s="5"/>
      <c r="H22" s="5"/>
      <c r="I22" s="5"/>
      <c r="J22" s="5"/>
      <c r="K22" s="5"/>
      <c r="L22" s="5"/>
      <c r="M22" s="5"/>
      <c r="N22" s="5"/>
      <c r="O22" s="5"/>
      <c r="P22" s="5"/>
      <c r="Q22" s="5"/>
      <c r="R22" s="5"/>
      <c r="S22" s="5"/>
      <c r="T22" s="5"/>
      <c r="U22" s="5"/>
      <c r="V22" s="5"/>
      <c r="W22" s="5"/>
      <c r="X22" s="5"/>
      <c r="Y22" s="5"/>
      <c r="Z22" s="5"/>
      <c r="AA22" s="5"/>
      <c r="AB22" s="5"/>
      <c r="AG22"/>
    </row>
    <row r="23" spans="2:38" s="2" customFormat="1" ht="30" customHeight="1">
      <c r="C23" s="7" t="s">
        <v>225</v>
      </c>
      <c r="D23" s="6"/>
      <c r="E23" s="6"/>
      <c r="F23" s="6"/>
      <c r="G23" s="6"/>
      <c r="H23" s="6"/>
      <c r="I23" s="6"/>
      <c r="J23" s="6"/>
      <c r="K23" s="6"/>
      <c r="L23" s="6"/>
      <c r="M23" s="6"/>
      <c r="N23" s="6"/>
      <c r="O23" s="6"/>
      <c r="P23" s="6"/>
      <c r="Q23" s="6"/>
      <c r="R23" s="6"/>
      <c r="S23" s="6"/>
      <c r="T23" s="6"/>
      <c r="U23" s="6"/>
      <c r="V23" s="6"/>
      <c r="W23" s="6"/>
      <c r="X23" s="6"/>
      <c r="Y23" s="6"/>
      <c r="Z23" s="6"/>
      <c r="AA23" s="6"/>
      <c r="AB23" s="15"/>
      <c r="AG23"/>
    </row>
    <row r="24" spans="2:38" s="2" customFormat="1" ht="30" customHeight="1">
      <c r="C24" s="7" t="s">
        <v>226</v>
      </c>
      <c r="D24" s="6"/>
      <c r="E24" s="6"/>
      <c r="F24" s="6"/>
      <c r="G24" s="6"/>
      <c r="H24" s="6"/>
      <c r="I24" s="6"/>
      <c r="J24" s="6"/>
      <c r="K24" s="6"/>
      <c r="L24" s="6"/>
      <c r="M24" s="6"/>
      <c r="N24" s="6"/>
      <c r="O24" s="6"/>
      <c r="P24" s="6"/>
      <c r="Q24" s="6"/>
      <c r="R24" s="6"/>
      <c r="S24" s="6"/>
      <c r="T24" s="6"/>
      <c r="U24" s="6"/>
      <c r="V24" s="6"/>
      <c r="W24" s="6"/>
      <c r="X24" s="6"/>
      <c r="Y24" s="6"/>
      <c r="Z24" s="6"/>
      <c r="AA24" s="6"/>
      <c r="AB24" s="15"/>
      <c r="AG24"/>
    </row>
    <row r="25" spans="2:38" s="2" customFormat="1" ht="30" customHeight="1">
      <c r="C25" s="7" t="s">
        <v>227</v>
      </c>
      <c r="D25" s="6"/>
      <c r="E25" s="6"/>
      <c r="F25" s="6"/>
      <c r="G25" s="270" t="s">
        <v>83</v>
      </c>
      <c r="H25" s="271"/>
      <c r="I25" s="7" t="s">
        <v>82</v>
      </c>
      <c r="K25" s="6"/>
      <c r="L25" s="6"/>
      <c r="M25" s="6"/>
      <c r="N25" s="6"/>
      <c r="O25" s="6"/>
      <c r="P25" s="6"/>
      <c r="Q25" s="6"/>
      <c r="R25" s="6"/>
      <c r="S25" s="6"/>
      <c r="T25" s="6"/>
      <c r="U25" s="6"/>
      <c r="V25" s="6"/>
      <c r="W25" s="6"/>
      <c r="X25" s="6"/>
      <c r="Y25" s="6"/>
      <c r="Z25" s="6"/>
      <c r="AA25" s="6"/>
      <c r="AB25" s="15"/>
      <c r="AG25"/>
    </row>
    <row r="26" spans="2:38" s="2" customFormat="1" ht="30" customHeight="1">
      <c r="C26" s="7" t="s">
        <v>228</v>
      </c>
      <c r="D26" s="6"/>
      <c r="E26" s="6"/>
      <c r="F26" s="6"/>
      <c r="G26" s="34"/>
      <c r="H26" s="34"/>
      <c r="I26" s="6"/>
      <c r="K26" s="6"/>
      <c r="L26" s="6"/>
      <c r="M26" s="6"/>
      <c r="N26" s="6"/>
      <c r="O26" s="6"/>
      <c r="P26" s="6"/>
      <c r="Q26" s="6"/>
      <c r="R26" s="6"/>
      <c r="S26" s="6"/>
      <c r="T26" s="6"/>
      <c r="U26" s="6"/>
      <c r="V26" s="6"/>
      <c r="W26" s="6"/>
      <c r="X26" s="6"/>
      <c r="Y26" s="6"/>
      <c r="Z26" s="6"/>
      <c r="AA26" s="6"/>
      <c r="AB26" s="15"/>
      <c r="AG26"/>
    </row>
    <row r="27" spans="2:38" s="2" customFormat="1" ht="30" customHeight="1">
      <c r="C27" s="7" t="s">
        <v>229</v>
      </c>
      <c r="D27" s="6"/>
      <c r="E27" s="6"/>
      <c r="F27" s="6"/>
      <c r="G27" s="6"/>
      <c r="H27" s="6"/>
      <c r="I27" s="6"/>
      <c r="J27" s="6"/>
      <c r="K27" s="6"/>
      <c r="L27" s="6"/>
      <c r="M27" s="6"/>
      <c r="N27" s="6"/>
      <c r="O27" s="6"/>
      <c r="P27" s="6"/>
      <c r="Q27" s="6"/>
      <c r="R27" s="6"/>
      <c r="S27" s="6"/>
      <c r="T27" s="6"/>
      <c r="U27" s="6"/>
      <c r="V27" s="6"/>
      <c r="W27" s="6"/>
      <c r="X27" s="6"/>
      <c r="Y27" s="6"/>
      <c r="Z27" s="6"/>
      <c r="AA27" s="6"/>
      <c r="AB27" s="15"/>
      <c r="AG27"/>
    </row>
    <row r="28" spans="2:38" s="2" customFormat="1" ht="30" customHeight="1">
      <c r="C28" s="16" t="s">
        <v>192</v>
      </c>
      <c r="D28" s="5"/>
      <c r="E28" s="5"/>
      <c r="F28" s="5"/>
      <c r="G28" s="5"/>
      <c r="H28" s="5"/>
      <c r="I28" s="5"/>
      <c r="J28" s="5"/>
      <c r="K28" s="5"/>
      <c r="L28" s="5"/>
      <c r="M28" s="5"/>
      <c r="N28" s="5"/>
      <c r="O28" s="5"/>
      <c r="P28" s="5"/>
      <c r="Q28" s="5"/>
      <c r="R28" s="5"/>
      <c r="S28" s="5"/>
      <c r="T28" s="5"/>
      <c r="U28" s="5"/>
      <c r="V28" s="5"/>
      <c r="W28" s="5"/>
      <c r="X28" s="5"/>
      <c r="Y28" s="5"/>
      <c r="Z28" s="5"/>
      <c r="AA28" s="5"/>
      <c r="AB28" s="17"/>
      <c r="AG28"/>
    </row>
    <row r="29" spans="2:38" s="2" customFormat="1" ht="30" customHeight="1"/>
    <row r="30" spans="2:38" s="2" customFormat="1" ht="30" customHeight="1"/>
    <row r="31" spans="2:38" s="2" customFormat="1" ht="30" customHeight="1"/>
    <row r="32" spans="2:38" s="2" customFormat="1" ht="20.100000000000001" customHeight="1"/>
    <row r="33" s="2" customFormat="1" ht="20.100000000000001" customHeight="1"/>
    <row r="34" s="2" customFormat="1" ht="20.100000000000001" customHeight="1"/>
    <row r="35" s="2" customFormat="1" ht="20.100000000000001" customHeight="1"/>
    <row r="36" s="2" customFormat="1" ht="20.100000000000001" customHeight="1"/>
    <row r="37" s="2" customFormat="1" ht="20.100000000000001" customHeight="1"/>
    <row r="38" s="2" customFormat="1" ht="20.100000000000001" customHeight="1"/>
    <row r="39" s="2" customFormat="1" ht="20.100000000000001" customHeight="1"/>
    <row r="40" s="2" customFormat="1" ht="20.100000000000001" customHeight="1"/>
    <row r="41" s="2" customFormat="1" ht="20.100000000000001" customHeight="1"/>
    <row r="42" s="2" customFormat="1" ht="20.100000000000001" customHeight="1"/>
    <row r="43" s="2" customFormat="1" ht="20.100000000000001" customHeight="1"/>
    <row r="44" s="2" customFormat="1" ht="20.100000000000001" customHeight="1"/>
    <row r="45" s="2" customFormat="1" ht="20.100000000000001" customHeight="1"/>
    <row r="46" s="2" customFormat="1" ht="20.100000000000001" customHeight="1"/>
    <row r="47" s="2" customFormat="1" ht="20.100000000000001" customHeight="1"/>
    <row r="48" s="2" customFormat="1" ht="20.100000000000001" customHeight="1"/>
    <row r="49" s="2" customFormat="1" ht="20.100000000000001" customHeight="1"/>
    <row r="50" s="2" customFormat="1" ht="20.100000000000001" customHeight="1"/>
    <row r="51" s="2" customFormat="1" ht="20.100000000000001" customHeight="1"/>
    <row r="52" s="2" customFormat="1" ht="20.100000000000001" customHeight="1"/>
    <row r="53" s="2" customFormat="1" ht="20.100000000000001" customHeight="1"/>
    <row r="54" s="2" customFormat="1" ht="20.100000000000001" customHeight="1"/>
    <row r="55" s="2" customFormat="1" ht="20.100000000000001" customHeight="1"/>
    <row r="56" s="2" customFormat="1" ht="20.100000000000001" customHeight="1"/>
    <row r="57" s="2" customFormat="1" ht="20.100000000000001" customHeight="1"/>
    <row r="58" s="2" customFormat="1" ht="20.100000000000001" customHeight="1"/>
    <row r="59" s="2" customFormat="1" ht="20.100000000000001" customHeight="1"/>
    <row r="60" s="2" customFormat="1" ht="20.100000000000001" customHeight="1"/>
    <row r="61" s="2" customFormat="1" ht="20.100000000000001" customHeight="1"/>
    <row r="62" s="2" customFormat="1" ht="20.100000000000001" customHeight="1"/>
    <row r="63" s="2" customFormat="1" ht="20.100000000000001" customHeight="1"/>
    <row r="64" s="2" customFormat="1" ht="20.100000000000001" customHeight="1"/>
    <row r="65" s="2" customFormat="1" ht="20.100000000000001" customHeight="1"/>
    <row r="66" s="2" customFormat="1" ht="20.100000000000001" customHeight="1"/>
    <row r="67" s="2" customFormat="1" ht="20.100000000000001" customHeight="1"/>
    <row r="68" s="2" customFormat="1" ht="20.100000000000001" customHeight="1"/>
    <row r="69" s="2" customFormat="1" ht="20.100000000000001" customHeight="1"/>
    <row r="70" s="2" customFormat="1" ht="20.100000000000001" customHeight="1"/>
    <row r="71" s="2" customFormat="1" ht="20.100000000000001" customHeight="1"/>
    <row r="72" s="2" customFormat="1" ht="20.100000000000001" customHeight="1"/>
    <row r="73" s="2" customFormat="1" ht="20.100000000000001" customHeight="1"/>
    <row r="74" s="2" customFormat="1" ht="20.100000000000001" customHeight="1"/>
    <row r="75" s="2" customFormat="1" ht="20.100000000000001" customHeight="1"/>
    <row r="76" s="2" customFormat="1" ht="20.100000000000001" customHeight="1"/>
    <row r="77" s="2" customFormat="1" ht="20.100000000000001" customHeight="1"/>
    <row r="78" s="2" customFormat="1" ht="20.100000000000001" customHeight="1"/>
    <row r="79" s="2" customFormat="1" ht="20.100000000000001" customHeight="1"/>
    <row r="80" s="2" customFormat="1" ht="20.100000000000001" customHeight="1"/>
    <row r="81" s="2" customFormat="1" ht="20.100000000000001" customHeight="1"/>
    <row r="82" s="2" customFormat="1" ht="20.100000000000001" customHeight="1"/>
    <row r="83" s="2" customFormat="1" ht="20.100000000000001" customHeight="1"/>
    <row r="84" s="2" customFormat="1" ht="20.100000000000001" customHeight="1"/>
    <row r="85" s="2" customFormat="1" ht="20.100000000000001" customHeight="1"/>
    <row r="86" s="2" customFormat="1" ht="20.100000000000001" customHeight="1"/>
    <row r="87" s="2" customFormat="1" ht="20.100000000000001" customHeight="1"/>
    <row r="88" s="2" customFormat="1" ht="20.100000000000001" customHeight="1"/>
    <row r="89" s="2" customFormat="1" ht="20.100000000000001" customHeight="1"/>
    <row r="90" s="2" customFormat="1" ht="20.100000000000001" customHeight="1"/>
    <row r="91" s="2" customFormat="1" ht="20.100000000000001" customHeight="1"/>
    <row r="92" s="2" customFormat="1" ht="20.100000000000001" customHeight="1"/>
    <row r="93" s="2" customFormat="1" ht="20.100000000000001" customHeight="1"/>
    <row r="94" s="2" customFormat="1" ht="20.100000000000001" customHeight="1"/>
    <row r="95" s="2" customFormat="1" ht="20.100000000000001" customHeight="1"/>
    <row r="96" s="2" customFormat="1" ht="20.100000000000001" customHeight="1"/>
    <row r="97" s="2" customFormat="1" ht="20.100000000000001" customHeight="1"/>
    <row r="98" s="2" customFormat="1" ht="20.100000000000001" customHeight="1"/>
    <row r="99" s="2" customFormat="1" ht="20.100000000000001" customHeight="1"/>
    <row r="100" s="2" customFormat="1" ht="20.100000000000001" customHeight="1"/>
    <row r="101" s="2" customFormat="1" ht="20.100000000000001" customHeight="1"/>
    <row r="102" s="2" customFormat="1" ht="20.100000000000001" customHeight="1"/>
    <row r="103" s="2" customFormat="1" ht="20.100000000000001" customHeight="1"/>
    <row r="104" s="2" customFormat="1" ht="20.100000000000001" customHeight="1"/>
    <row r="105" s="2" customFormat="1" ht="20.100000000000001" customHeight="1"/>
    <row r="106" s="2" customFormat="1" ht="20.100000000000001" customHeight="1"/>
    <row r="107" s="2" customFormat="1" ht="20.100000000000001" customHeight="1"/>
    <row r="108" s="2" customFormat="1" ht="20.100000000000001" customHeight="1"/>
    <row r="109" s="2" customFormat="1" ht="20.100000000000001" customHeight="1"/>
    <row r="110" s="2" customFormat="1" ht="20.100000000000001" customHeight="1"/>
    <row r="111" s="2" customFormat="1" ht="20.100000000000001" customHeight="1"/>
    <row r="112" s="2" customFormat="1" ht="20.100000000000001" customHeight="1"/>
    <row r="113" s="2" customFormat="1" ht="20.100000000000001" customHeight="1"/>
    <row r="114" s="2" customFormat="1" ht="20.100000000000001" customHeight="1"/>
    <row r="115" s="2" customFormat="1" ht="20.100000000000001" customHeight="1"/>
    <row r="116" s="2" customFormat="1" ht="20.100000000000001" customHeight="1"/>
    <row r="117" s="2" customFormat="1" ht="20.100000000000001" customHeight="1"/>
    <row r="118" s="2" customFormat="1" ht="20.100000000000001" customHeight="1"/>
    <row r="119" s="2" customFormat="1" ht="20.100000000000001" customHeight="1"/>
    <row r="120" s="2" customFormat="1" ht="20.100000000000001" customHeight="1"/>
    <row r="121" s="2" customFormat="1" ht="20.100000000000001" customHeight="1"/>
    <row r="122" s="2" customFormat="1" ht="20.100000000000001" customHeight="1"/>
    <row r="123" s="2" customFormat="1" ht="20.100000000000001" customHeight="1"/>
    <row r="124" s="2" customFormat="1" ht="20.100000000000001" customHeight="1"/>
    <row r="125" s="2" customFormat="1" ht="20.100000000000001" customHeight="1"/>
    <row r="126" s="2" customFormat="1" ht="20.100000000000001" customHeight="1"/>
    <row r="127" s="2" customFormat="1" ht="20.100000000000001" customHeight="1"/>
    <row r="128" s="2" customFormat="1" ht="20.100000000000001" customHeight="1"/>
    <row r="129" s="2" customFormat="1" ht="20.100000000000001" customHeight="1"/>
    <row r="130" s="2" customFormat="1" ht="20.100000000000001" customHeight="1"/>
    <row r="131" s="2" customFormat="1" ht="20.100000000000001" customHeight="1"/>
    <row r="132" s="2" customFormat="1" ht="20.100000000000001" customHeight="1"/>
    <row r="133" s="2" customFormat="1" ht="20.100000000000001" customHeight="1"/>
    <row r="134" s="2" customFormat="1" ht="20.100000000000001" customHeight="1"/>
    <row r="135" s="2" customFormat="1" ht="20.100000000000001" customHeight="1"/>
    <row r="136" s="2" customFormat="1" ht="20.100000000000001" customHeight="1"/>
    <row r="137" s="2" customFormat="1" ht="20.100000000000001" customHeight="1"/>
    <row r="138" s="2" customFormat="1" ht="20.100000000000001" customHeight="1"/>
    <row r="139" s="2" customFormat="1" ht="20.100000000000001" customHeight="1"/>
    <row r="140" s="2" customFormat="1" ht="20.100000000000001" customHeight="1"/>
    <row r="141" s="2" customFormat="1" ht="20.100000000000001" customHeight="1"/>
    <row r="142" s="3" customFormat="1" ht="20.100000000000001" customHeight="1"/>
    <row r="143" s="3" customFormat="1" ht="20.100000000000001" customHeight="1"/>
    <row r="144" ht="20.100000000000001" customHeight="1"/>
    <row r="145" ht="20.100000000000001" customHeight="1"/>
    <row r="146" ht="20.100000000000001" customHeight="1"/>
    <row r="147" ht="20.100000000000001" customHeight="1"/>
  </sheetData>
  <sheetProtection algorithmName="SHA-512" hashValue="/5fnSSvq14JqmfJ4FjWzbOxeT9Yetyq/qps5EvoRTzAu0tWW2Kzfxiz64g6f+PiAa0WamC5ZZtsu/8C1P1lebg==" saltValue="hQJDULI15Oh4TFTtyEC31w==" spinCount="100000" sheet="1" objects="1" scenarios="1" selectLockedCells="1"/>
  <mergeCells count="49">
    <mergeCell ref="B16:I16"/>
    <mergeCell ref="J16:N16"/>
    <mergeCell ref="O16:S16"/>
    <mergeCell ref="T16:X16"/>
    <mergeCell ref="B17:I17"/>
    <mergeCell ref="J17:L17"/>
    <mergeCell ref="M17:N17"/>
    <mergeCell ref="O17:Q17"/>
    <mergeCell ref="R17:S17"/>
    <mergeCell ref="G25:H25"/>
    <mergeCell ref="B18:I18"/>
    <mergeCell ref="J18:L18"/>
    <mergeCell ref="M18:N18"/>
    <mergeCell ref="O18:Q18"/>
    <mergeCell ref="B11:I11"/>
    <mergeCell ref="J11:L11"/>
    <mergeCell ref="M11:N11"/>
    <mergeCell ref="B12:I12"/>
    <mergeCell ref="J12:L12"/>
    <mergeCell ref="M12:N12"/>
    <mergeCell ref="B8:I8"/>
    <mergeCell ref="AG4:AL4"/>
    <mergeCell ref="AI5:AJ5"/>
    <mergeCell ref="AK5:AL5"/>
    <mergeCell ref="B2:AC2"/>
    <mergeCell ref="B3:AC3"/>
    <mergeCell ref="B7:I7"/>
    <mergeCell ref="K7:W7"/>
    <mergeCell ref="X7:Z7"/>
    <mergeCell ref="B6:I6"/>
    <mergeCell ref="K6:AC6"/>
    <mergeCell ref="M8:N8"/>
    <mergeCell ref="O8:P8"/>
    <mergeCell ref="R8:S8"/>
    <mergeCell ref="T8:U8"/>
    <mergeCell ref="AF19:AF21"/>
    <mergeCell ref="AA16:AC16"/>
    <mergeCell ref="AA17:AC17"/>
    <mergeCell ref="AA18:AC18"/>
    <mergeCell ref="AG5:AH5"/>
    <mergeCell ref="AA7:AC7"/>
    <mergeCell ref="AB12:AC12"/>
    <mergeCell ref="X12:AA12"/>
    <mergeCell ref="T18:X18"/>
    <mergeCell ref="T17:X17"/>
    <mergeCell ref="O12:W12"/>
    <mergeCell ref="R18:S18"/>
    <mergeCell ref="X11:AA11"/>
    <mergeCell ref="O11:W11"/>
  </mergeCells>
  <phoneticPr fontId="2"/>
  <dataValidations count="1">
    <dataValidation type="list" allowBlank="1" showInputMessage="1" showErrorMessage="1" sqref="AA7:AC7">
      <formula1>"１地域,２地域,３地域,４地域,５地域,６地域,７地域,８地域"</formula1>
    </dataValidation>
  </dataValidations>
  <pageMargins left="0.59055118110236227" right="0.39370078740157483" top="0.98425196850393704" bottom="0.78740157480314965" header="0.31496062992125984" footer="0.39370078740157483"/>
  <pageSetup paperSize="9" scale="90" orientation="portrait" horizontalDpi="300" verticalDpi="300" r:id="rId1"/>
  <headerFooter>
    <oddHeader>&amp;Rver. 1.7 [H28]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4214" r:id="rId4" name="Option Button 6">
              <controlPr defaultSize="0" autoFill="0" autoLine="0" autoPict="0">
                <anchor moveWithCells="1">
                  <from>
                    <xdr:col>25</xdr:col>
                    <xdr:colOff>28575</xdr:colOff>
                    <xdr:row>15</xdr:row>
                    <xdr:rowOff>85725</xdr:rowOff>
                  </from>
                  <to>
                    <xdr:col>26</xdr:col>
                    <xdr:colOff>57150</xdr:colOff>
                    <xdr:row>15</xdr:row>
                    <xdr:rowOff>295275</xdr:rowOff>
                  </to>
                </anchor>
              </controlPr>
            </control>
          </mc:Choice>
        </mc:AlternateContent>
        <mc:AlternateContent xmlns:mc="http://schemas.openxmlformats.org/markup-compatibility/2006">
          <mc:Choice Requires="x14">
            <control shapeId="94215" r:id="rId5" name="Option Button 7">
              <controlPr defaultSize="0" autoFill="0" autoLine="0" autoPict="0">
                <anchor moveWithCells="1">
                  <from>
                    <xdr:col>25</xdr:col>
                    <xdr:colOff>28575</xdr:colOff>
                    <xdr:row>16</xdr:row>
                    <xdr:rowOff>85725</xdr:rowOff>
                  </from>
                  <to>
                    <xdr:col>26</xdr:col>
                    <xdr:colOff>57150</xdr:colOff>
                    <xdr:row>16</xdr:row>
                    <xdr:rowOff>295275</xdr:rowOff>
                  </to>
                </anchor>
              </controlPr>
            </control>
          </mc:Choice>
        </mc:AlternateContent>
        <mc:AlternateContent xmlns:mc="http://schemas.openxmlformats.org/markup-compatibility/2006">
          <mc:Choice Requires="x14">
            <control shapeId="94216" r:id="rId6" name="Option Button 8">
              <controlPr defaultSize="0" autoFill="0" autoLine="0" autoPict="0">
                <anchor moveWithCells="1">
                  <from>
                    <xdr:col>25</xdr:col>
                    <xdr:colOff>28575</xdr:colOff>
                    <xdr:row>17</xdr:row>
                    <xdr:rowOff>85725</xdr:rowOff>
                  </from>
                  <to>
                    <xdr:col>26</xdr:col>
                    <xdr:colOff>57150</xdr:colOff>
                    <xdr:row>17</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N142"/>
  <sheetViews>
    <sheetView view="pageBreakPreview" zoomScaleNormal="100" zoomScaleSheetLayoutView="100" workbookViewId="0">
      <selection activeCell="B139" sqref="B139:C139"/>
    </sheetView>
  </sheetViews>
  <sheetFormatPr defaultRowHeight="15" customHeight="1"/>
  <cols>
    <col min="1" max="1" width="0.875" style="99" customWidth="1"/>
    <col min="2" max="2" width="4.625" style="99" customWidth="1"/>
    <col min="3" max="3" width="47.125" style="99" customWidth="1"/>
    <col min="4" max="4" width="12.625" style="99" customWidth="1"/>
    <col min="5" max="7" width="10.625" style="99" customWidth="1"/>
    <col min="8" max="8" width="0.875" style="99" customWidth="1"/>
    <col min="9" max="9" width="10.5" style="99" customWidth="1"/>
    <col min="10" max="10" width="0.875" style="99" hidden="1" customWidth="1"/>
    <col min="11" max="11" width="9" style="99"/>
    <col min="12" max="12" width="25.625" style="99" customWidth="1"/>
    <col min="13" max="16384" width="9" style="99"/>
  </cols>
  <sheetData>
    <row r="1" spans="1:14" ht="5.0999999999999996" customHeight="1"/>
    <row r="2" spans="1:14" ht="30" customHeight="1">
      <c r="B2" s="326" t="s">
        <v>403</v>
      </c>
      <c r="C2" s="326"/>
      <c r="D2" s="326"/>
      <c r="E2" s="326"/>
      <c r="F2" s="326"/>
      <c r="G2" s="326"/>
      <c r="H2" s="189"/>
      <c r="I2" s="188"/>
      <c r="J2" s="189"/>
      <c r="K2" s="325" t="s">
        <v>235</v>
      </c>
      <c r="L2" s="325"/>
      <c r="M2" s="325"/>
      <c r="N2" s="325"/>
    </row>
    <row r="3" spans="1:14" ht="20.100000000000001" customHeight="1">
      <c r="A3" s="100"/>
      <c r="B3" s="199"/>
      <c r="C3" s="99" t="s">
        <v>418</v>
      </c>
      <c r="E3" s="100"/>
      <c r="F3" s="100"/>
      <c r="G3" s="100"/>
      <c r="H3" s="101"/>
      <c r="I3" s="100"/>
      <c r="J3" s="101"/>
      <c r="K3" s="106"/>
      <c r="L3" s="106"/>
      <c r="M3" s="106"/>
      <c r="N3" s="106"/>
    </row>
    <row r="4" spans="1:14" ht="20.100000000000001" customHeight="1" thickBot="1">
      <c r="B4" s="4" t="s">
        <v>404</v>
      </c>
      <c r="C4" s="102"/>
    </row>
    <row r="5" spans="1:14" ht="20.100000000000001" customHeight="1" thickBot="1">
      <c r="B5" s="103" t="s">
        <v>439</v>
      </c>
      <c r="C5" s="203" t="s">
        <v>419</v>
      </c>
      <c r="D5" s="104" t="s">
        <v>440</v>
      </c>
      <c r="E5" s="104"/>
      <c r="F5" s="104"/>
      <c r="G5" s="105"/>
      <c r="K5" s="106" t="s">
        <v>237</v>
      </c>
      <c r="L5" s="106"/>
      <c r="M5" s="315" t="s">
        <v>243</v>
      </c>
      <c r="N5" s="316"/>
    </row>
    <row r="6" spans="1:14" ht="20.100000000000001" customHeight="1">
      <c r="B6" s="307" t="s">
        <v>0</v>
      </c>
      <c r="C6" s="308"/>
      <c r="D6" s="294" t="s">
        <v>239</v>
      </c>
      <c r="E6" s="294"/>
      <c r="F6" s="107" t="s">
        <v>240</v>
      </c>
      <c r="G6" s="108" t="s">
        <v>241</v>
      </c>
      <c r="K6" s="110" t="s">
        <v>247</v>
      </c>
      <c r="L6" s="110" t="s">
        <v>248</v>
      </c>
      <c r="M6" s="110" t="s">
        <v>240</v>
      </c>
      <c r="N6" s="110" t="s">
        <v>249</v>
      </c>
    </row>
    <row r="7" spans="1:14" ht="20.100000000000001" customHeight="1">
      <c r="B7" s="309"/>
      <c r="C7" s="310"/>
      <c r="D7" s="313" t="s">
        <v>242</v>
      </c>
      <c r="E7" s="314"/>
      <c r="F7" s="190">
        <f>VLOOKUP(C5,L7:N8,2,FALSE)</f>
        <v>1</v>
      </c>
      <c r="G7" s="191">
        <f>VLOOKUP(C5,L7:N8,3,FALSE)</f>
        <v>0</v>
      </c>
      <c r="K7" s="317" t="s">
        <v>252</v>
      </c>
      <c r="L7" s="110" t="s">
        <v>419</v>
      </c>
      <c r="M7" s="112">
        <v>1</v>
      </c>
      <c r="N7" s="113"/>
    </row>
    <row r="8" spans="1:14" ht="30" customHeight="1" thickBot="1">
      <c r="B8" s="319"/>
      <c r="C8" s="320"/>
      <c r="D8" s="201" t="s">
        <v>244</v>
      </c>
      <c r="E8" s="109" t="s">
        <v>245</v>
      </c>
      <c r="F8" s="297" t="s">
        <v>441</v>
      </c>
      <c r="G8" s="298"/>
      <c r="K8" s="318"/>
      <c r="L8" s="110" t="s">
        <v>420</v>
      </c>
      <c r="M8" s="110">
        <v>0.87</v>
      </c>
      <c r="N8" s="110">
        <v>0.13</v>
      </c>
    </row>
    <row r="9" spans="1:14" ht="20.100000000000001" customHeight="1">
      <c r="B9" s="299" t="s">
        <v>414</v>
      </c>
      <c r="C9" s="300"/>
      <c r="D9" s="111" t="s">
        <v>442</v>
      </c>
      <c r="E9" s="111" t="s">
        <v>442</v>
      </c>
      <c r="F9" s="204">
        <v>0.09</v>
      </c>
      <c r="G9" s="205">
        <f>IF(G7=0,0,0.09)</f>
        <v>0</v>
      </c>
      <c r="L9" s="114" t="s">
        <v>254</v>
      </c>
      <c r="M9" s="106"/>
      <c r="N9" s="106"/>
    </row>
    <row r="10" spans="1:14" ht="20.100000000000001" customHeight="1">
      <c r="B10" s="301" t="s">
        <v>306</v>
      </c>
      <c r="C10" s="303"/>
      <c r="D10" s="194">
        <f>IFERROR((VLOOKUP(B10,DATAｼｰﾄ!B49:C54,2,FALSE)),"")</f>
        <v>0.22</v>
      </c>
      <c r="E10" s="200">
        <v>9.4999999999999998E-3</v>
      </c>
      <c r="F10" s="195">
        <f>IF(B10=0,"",E10/D10)</f>
        <v>4.3181818181818182E-2</v>
      </c>
      <c r="G10" s="196" t="str">
        <f>IF(G7=0,"",E10/D10)</f>
        <v/>
      </c>
      <c r="L10" s="114"/>
      <c r="M10" s="106"/>
      <c r="N10" s="106"/>
    </row>
    <row r="11" spans="1:14" ht="20.100000000000001" customHeight="1">
      <c r="B11" s="301" t="s">
        <v>253</v>
      </c>
      <c r="C11" s="302"/>
      <c r="D11" s="194">
        <f>IFERROR((VLOOKUP(B11,DATAｼｰﾄ!F39:G56,2,FALSE)),"")</f>
        <v>3.7999999999999999E-2</v>
      </c>
      <c r="E11" s="194">
        <v>0.155</v>
      </c>
      <c r="F11" s="195">
        <f>IF(B11=0,"",E11/D11)</f>
        <v>4.0789473684210531</v>
      </c>
      <c r="G11" s="196"/>
      <c r="K11" s="106" t="s">
        <v>429</v>
      </c>
      <c r="L11" s="106"/>
      <c r="M11" s="106"/>
      <c r="N11" s="106"/>
    </row>
    <row r="12" spans="1:14" ht="20.100000000000001" customHeight="1">
      <c r="B12" s="301"/>
      <c r="C12" s="303"/>
      <c r="D12" s="194" t="str">
        <f>IFERROR((VLOOKUP(B12,DATAｼｰﾄ!B47:C48,2,FALSE)),"")</f>
        <v/>
      </c>
      <c r="E12" s="194">
        <f>IF(D12&lt;&gt;0,E11,0)</f>
        <v>0.155</v>
      </c>
      <c r="F12" s="195"/>
      <c r="G12" s="196">
        <f>IF(OR(G7=0,B12=0),0,E12/D12)</f>
        <v>0</v>
      </c>
      <c r="K12" s="106" t="s">
        <v>430</v>
      </c>
      <c r="L12" s="106"/>
      <c r="M12" s="106"/>
      <c r="N12" s="106"/>
    </row>
    <row r="13" spans="1:14" ht="20.100000000000001" customHeight="1">
      <c r="B13" s="301"/>
      <c r="C13" s="303"/>
      <c r="D13" s="194"/>
      <c r="E13" s="194"/>
      <c r="F13" s="195" t="str">
        <f t="shared" ref="F13:F14" si="0">IF(D13=0,"",E13/D13)</f>
        <v/>
      </c>
      <c r="G13" s="196" t="str">
        <f t="shared" ref="G13:G14" si="1">IF(D13=0,"",E13/D13)</f>
        <v/>
      </c>
      <c r="K13" s="106"/>
      <c r="L13" s="106"/>
      <c r="M13" s="106"/>
      <c r="N13" s="106"/>
    </row>
    <row r="14" spans="1:14" ht="20.100000000000001" customHeight="1">
      <c r="B14" s="301"/>
      <c r="C14" s="303"/>
      <c r="D14" s="194"/>
      <c r="E14" s="194"/>
      <c r="F14" s="195" t="str">
        <f t="shared" si="0"/>
        <v/>
      </c>
      <c r="G14" s="196" t="str">
        <f t="shared" si="1"/>
        <v/>
      </c>
      <c r="K14" s="106"/>
      <c r="L14" s="106"/>
      <c r="M14" s="106"/>
      <c r="N14" s="106"/>
    </row>
    <row r="15" spans="1:14" ht="20.100000000000001" customHeight="1">
      <c r="B15" s="311" t="s">
        <v>416</v>
      </c>
      <c r="C15" s="312"/>
      <c r="D15" s="115" t="s">
        <v>442</v>
      </c>
      <c r="E15" s="115" t="s">
        <v>442</v>
      </c>
      <c r="F15" s="206">
        <v>0.09</v>
      </c>
      <c r="G15" s="207">
        <f>IF(G7=0,0,0.09)</f>
        <v>0</v>
      </c>
      <c r="K15" s="106"/>
      <c r="L15" s="106"/>
      <c r="M15" s="106"/>
      <c r="N15" s="106"/>
    </row>
    <row r="16" spans="1:14" ht="20.100000000000001" customHeight="1">
      <c r="B16" s="304" t="s">
        <v>255</v>
      </c>
      <c r="C16" s="305"/>
      <c r="D16" s="305"/>
      <c r="E16" s="306"/>
      <c r="F16" s="116">
        <f>SUM(F9:F15)</f>
        <v>4.3021291866028708</v>
      </c>
      <c r="G16" s="117">
        <f>SUM(G9:G15)</f>
        <v>0</v>
      </c>
      <c r="K16" s="106"/>
      <c r="L16" s="106"/>
      <c r="M16" s="106"/>
      <c r="N16" s="106"/>
    </row>
    <row r="17" spans="2:14" ht="20.100000000000001" customHeight="1">
      <c r="B17" s="304" t="s">
        <v>256</v>
      </c>
      <c r="C17" s="305"/>
      <c r="D17" s="305"/>
      <c r="E17" s="306"/>
      <c r="F17" s="118">
        <f>IF(F16=0,"0.000",1/F16)</f>
        <v>0.23244304311317973</v>
      </c>
      <c r="G17" s="119" t="str">
        <f>IF(G16=0,"0.000",1/G16)</f>
        <v>0.000</v>
      </c>
      <c r="K17" s="106"/>
      <c r="L17" s="106"/>
      <c r="M17" s="106"/>
      <c r="N17" s="106"/>
    </row>
    <row r="18" spans="2:14" ht="20.100000000000001" customHeight="1" thickBot="1">
      <c r="B18" s="289" t="s">
        <v>257</v>
      </c>
      <c r="C18" s="290"/>
      <c r="D18" s="290"/>
      <c r="E18" s="291"/>
      <c r="F18" s="292">
        <f>IF(F16=0,"",(F7*F17)+(G7*G17))</f>
        <v>0.23244304311317973</v>
      </c>
      <c r="G18" s="293"/>
      <c r="K18" s="106"/>
      <c r="L18" s="106"/>
      <c r="M18" s="106"/>
      <c r="N18" s="106"/>
    </row>
    <row r="19" spans="2:14" ht="20.100000000000001" customHeight="1">
      <c r="K19" s="106"/>
      <c r="L19" s="106"/>
      <c r="M19" s="106"/>
      <c r="N19" s="106"/>
    </row>
    <row r="20" spans="2:14" ht="20.100000000000001" customHeight="1" thickBot="1">
      <c r="B20" s="4" t="s">
        <v>405</v>
      </c>
      <c r="C20" s="102"/>
      <c r="K20" s="106"/>
      <c r="L20" s="106"/>
      <c r="M20" s="106"/>
      <c r="N20" s="106"/>
    </row>
    <row r="21" spans="2:14" ht="20.100000000000001" customHeight="1" thickBot="1">
      <c r="B21" s="103" t="s">
        <v>411</v>
      </c>
      <c r="C21" s="203" t="s">
        <v>421</v>
      </c>
      <c r="D21" s="104" t="s">
        <v>412</v>
      </c>
      <c r="E21" s="104"/>
      <c r="F21" s="104"/>
      <c r="G21" s="105"/>
      <c r="K21" s="106" t="s">
        <v>258</v>
      </c>
      <c r="L21" s="106"/>
      <c r="M21" s="315" t="s">
        <v>243</v>
      </c>
      <c r="N21" s="316"/>
    </row>
    <row r="22" spans="2:14" ht="20.100000000000001" customHeight="1">
      <c r="B22" s="307" t="s">
        <v>0</v>
      </c>
      <c r="C22" s="308"/>
      <c r="D22" s="294" t="s">
        <v>239</v>
      </c>
      <c r="E22" s="294"/>
      <c r="F22" s="107" t="s">
        <v>240</v>
      </c>
      <c r="G22" s="108" t="s">
        <v>241</v>
      </c>
      <c r="K22" s="120" t="s">
        <v>247</v>
      </c>
      <c r="L22" s="110" t="s">
        <v>248</v>
      </c>
      <c r="M22" s="110" t="s">
        <v>240</v>
      </c>
      <c r="N22" s="110" t="s">
        <v>249</v>
      </c>
    </row>
    <row r="23" spans="2:14" ht="20.100000000000001" customHeight="1">
      <c r="B23" s="309"/>
      <c r="C23" s="310"/>
      <c r="D23" s="313" t="s">
        <v>242</v>
      </c>
      <c r="E23" s="314"/>
      <c r="F23" s="190">
        <f>VLOOKUP(C21,$L$23:$N$24,2,FALSE)</f>
        <v>0.86</v>
      </c>
      <c r="G23" s="191">
        <f>VLOOKUP(C21,$L$23:$N$24,3,FALSE)</f>
        <v>0.14000000000000001</v>
      </c>
      <c r="K23" s="120" t="s">
        <v>252</v>
      </c>
      <c r="L23" s="121" t="s">
        <v>421</v>
      </c>
      <c r="M23" s="110">
        <v>0.86</v>
      </c>
      <c r="N23" s="110">
        <v>0.14000000000000001</v>
      </c>
    </row>
    <row r="24" spans="2:14" ht="30" customHeight="1" thickBot="1">
      <c r="B24" s="319"/>
      <c r="C24" s="320"/>
      <c r="D24" s="187" t="s">
        <v>244</v>
      </c>
      <c r="E24" s="109" t="s">
        <v>245</v>
      </c>
      <c r="F24" s="297" t="s">
        <v>413</v>
      </c>
      <c r="G24" s="298"/>
      <c r="K24" s="122" t="s">
        <v>259</v>
      </c>
      <c r="L24" s="110" t="s">
        <v>422</v>
      </c>
      <c r="M24" s="123">
        <v>1</v>
      </c>
      <c r="N24" s="124"/>
    </row>
    <row r="25" spans="2:14" ht="20.100000000000001" customHeight="1">
      <c r="B25" s="299" t="s">
        <v>414</v>
      </c>
      <c r="C25" s="300"/>
      <c r="D25" s="111" t="s">
        <v>415</v>
      </c>
      <c r="E25" s="111" t="s">
        <v>415</v>
      </c>
      <c r="F25" s="204">
        <v>0.09</v>
      </c>
      <c r="G25" s="205">
        <f>IF(G23=0,0,0.09)</f>
        <v>0.09</v>
      </c>
      <c r="K25" s="106"/>
      <c r="L25" s="125" t="s">
        <v>261</v>
      </c>
    </row>
    <row r="26" spans="2:14" ht="20.100000000000001" customHeight="1">
      <c r="B26" s="301" t="s">
        <v>306</v>
      </c>
      <c r="C26" s="303"/>
      <c r="D26" s="194">
        <f>IFERROR((VLOOKUP(B26,DATAｼｰﾄ!B42:C44,2,FALSE)),"")</f>
        <v>0.22</v>
      </c>
      <c r="E26" s="200">
        <v>9.4999999999999998E-3</v>
      </c>
      <c r="F26" s="195">
        <f>IF(B26=0,"",E26/D26)</f>
        <v>4.3181818181818182E-2</v>
      </c>
      <c r="G26" s="196">
        <f>IF(B26=0,"",E26/D26)</f>
        <v>4.3181818181818182E-2</v>
      </c>
      <c r="K26" s="106" t="s">
        <v>431</v>
      </c>
      <c r="L26" s="106"/>
      <c r="M26" s="106"/>
      <c r="N26" s="106"/>
    </row>
    <row r="27" spans="2:14" ht="20.100000000000001" customHeight="1">
      <c r="B27" s="301" t="s">
        <v>260</v>
      </c>
      <c r="C27" s="302"/>
      <c r="D27" s="194">
        <f>IFERROR((VLOOKUP(B27,DATAｼｰﾄ!F16:G35,2,FALSE)),"")</f>
        <v>3.7999999999999999E-2</v>
      </c>
      <c r="E27" s="194">
        <v>0.09</v>
      </c>
      <c r="F27" s="195">
        <f>IF(B27=0,"",E27/D27)</f>
        <v>2.3684210526315788</v>
      </c>
      <c r="G27" s="196"/>
      <c r="K27" s="106" t="s">
        <v>435</v>
      </c>
      <c r="L27" s="106"/>
      <c r="M27" s="106"/>
      <c r="N27" s="106"/>
    </row>
    <row r="28" spans="2:14" ht="20.100000000000001" customHeight="1">
      <c r="B28" s="301" t="s">
        <v>260</v>
      </c>
      <c r="C28" s="302"/>
      <c r="D28" s="194">
        <f>IFERROR((VLOOKUP(B28,DATAｼｰﾄ!F16:G35,2,FALSE)),"")</f>
        <v>3.7999999999999999E-2</v>
      </c>
      <c r="E28" s="194">
        <v>0.09</v>
      </c>
      <c r="F28" s="195">
        <f>IF(B28=0,"",E28/D28)</f>
        <v>2.3684210526315788</v>
      </c>
      <c r="G28" s="196"/>
      <c r="K28" s="106"/>
      <c r="L28" s="106"/>
      <c r="M28" s="106"/>
      <c r="N28" s="106"/>
    </row>
    <row r="29" spans="2:14" ht="20.100000000000001" customHeight="1">
      <c r="B29" s="301" t="s">
        <v>311</v>
      </c>
      <c r="C29" s="303"/>
      <c r="D29" s="194">
        <f>IFERROR((VLOOKUP(B29,DATAｼｰﾄ!B47:C48,2,FALSE)),"")</f>
        <v>0.12</v>
      </c>
      <c r="E29" s="194">
        <f>E27+E28</f>
        <v>0.18</v>
      </c>
      <c r="F29" s="195"/>
      <c r="G29" s="196">
        <f>IF(B29=0,"",E29/D29)</f>
        <v>1.5</v>
      </c>
      <c r="K29" s="106"/>
      <c r="L29" s="106"/>
      <c r="M29" s="106"/>
      <c r="N29" s="106"/>
    </row>
    <row r="30" spans="2:14" ht="20.100000000000001" customHeight="1">
      <c r="B30" s="301"/>
      <c r="C30" s="303"/>
      <c r="D30" s="194"/>
      <c r="E30" s="194"/>
      <c r="F30" s="195" t="str">
        <f t="shared" ref="F30:F31" si="2">IF(D30=0,"",E30/D30)</f>
        <v/>
      </c>
      <c r="G30" s="196" t="str">
        <f t="shared" ref="G30:G31" si="3">IF(D30=0,"",E30/D30)</f>
        <v/>
      </c>
      <c r="K30" s="106"/>
      <c r="L30" s="106"/>
      <c r="M30" s="106"/>
      <c r="N30" s="106"/>
    </row>
    <row r="31" spans="2:14" ht="20.100000000000001" customHeight="1">
      <c r="B31" s="301"/>
      <c r="C31" s="303"/>
      <c r="D31" s="194"/>
      <c r="E31" s="194"/>
      <c r="F31" s="195" t="str">
        <f t="shared" si="2"/>
        <v/>
      </c>
      <c r="G31" s="196" t="str">
        <f t="shared" si="3"/>
        <v/>
      </c>
      <c r="K31" s="106"/>
      <c r="L31" s="106"/>
      <c r="M31" s="106"/>
      <c r="N31" s="106"/>
    </row>
    <row r="32" spans="2:14" ht="20.100000000000001" customHeight="1">
      <c r="B32" s="311" t="s">
        <v>416</v>
      </c>
      <c r="C32" s="312"/>
      <c r="D32" s="115" t="s">
        <v>417</v>
      </c>
      <c r="E32" s="115" t="s">
        <v>417</v>
      </c>
      <c r="F32" s="206">
        <v>0.09</v>
      </c>
      <c r="G32" s="207">
        <f>IF(G23=0,0,0.09)</f>
        <v>0.09</v>
      </c>
      <c r="K32" s="106"/>
      <c r="L32" s="106"/>
      <c r="M32" s="106"/>
      <c r="N32" s="106"/>
    </row>
    <row r="33" spans="2:14" ht="20.100000000000001" customHeight="1">
      <c r="B33" s="304" t="s">
        <v>255</v>
      </c>
      <c r="C33" s="305"/>
      <c r="D33" s="305"/>
      <c r="E33" s="306"/>
      <c r="F33" s="116">
        <f>SUM(F25:F32)</f>
        <v>4.9600239234449752</v>
      </c>
      <c r="G33" s="117">
        <f>SUM(G25:G32)</f>
        <v>1.7231818181818184</v>
      </c>
      <c r="K33" s="106"/>
      <c r="L33" s="106"/>
      <c r="M33" s="106"/>
      <c r="N33" s="106"/>
    </row>
    <row r="34" spans="2:14" ht="20.100000000000001" customHeight="1">
      <c r="B34" s="304" t="s">
        <v>256</v>
      </c>
      <c r="C34" s="305"/>
      <c r="D34" s="305"/>
      <c r="E34" s="306"/>
      <c r="F34" s="118">
        <f>IF(F33=0,"0.000",1/F33)</f>
        <v>0.2016119307959813</v>
      </c>
      <c r="G34" s="119">
        <f>IF(G33=0,"0.000",1/G33)</f>
        <v>0.58032181482458445</v>
      </c>
      <c r="K34" s="106"/>
      <c r="L34" s="106"/>
      <c r="M34" s="106"/>
      <c r="N34" s="106"/>
    </row>
    <row r="35" spans="2:14" ht="20.100000000000001" customHeight="1" thickBot="1">
      <c r="B35" s="289" t="s">
        <v>257</v>
      </c>
      <c r="C35" s="290"/>
      <c r="D35" s="290"/>
      <c r="E35" s="291"/>
      <c r="F35" s="292">
        <f>IF(F33=0,"",(F23*F34)+(G23*G34))</f>
        <v>0.25463131455998578</v>
      </c>
      <c r="G35" s="293"/>
      <c r="K35" s="106"/>
      <c r="L35" s="106"/>
      <c r="M35" s="106"/>
      <c r="N35" s="106"/>
    </row>
    <row r="36" spans="2:14" ht="15" customHeight="1">
      <c r="K36" s="106"/>
      <c r="L36" s="106"/>
      <c r="M36" s="106"/>
      <c r="N36" s="106"/>
    </row>
    <row r="37" spans="2:14" ht="15" customHeight="1" thickBot="1">
      <c r="B37" s="4" t="s">
        <v>406</v>
      </c>
      <c r="C37" s="102"/>
      <c r="K37" s="106"/>
      <c r="L37" s="106"/>
      <c r="M37" s="106"/>
      <c r="N37" s="106"/>
    </row>
    <row r="38" spans="2:14" ht="20.100000000000001" customHeight="1" thickBot="1">
      <c r="B38" s="103" t="s">
        <v>411</v>
      </c>
      <c r="C38" s="203" t="s">
        <v>423</v>
      </c>
      <c r="D38" s="104" t="s">
        <v>412</v>
      </c>
      <c r="E38" s="104"/>
      <c r="F38" s="104"/>
      <c r="G38" s="105"/>
      <c r="K38" s="106" t="s">
        <v>262</v>
      </c>
      <c r="L38" s="106"/>
      <c r="M38" s="315" t="s">
        <v>243</v>
      </c>
      <c r="N38" s="316"/>
    </row>
    <row r="39" spans="2:14" ht="20.100000000000001" customHeight="1">
      <c r="B39" s="307" t="s">
        <v>0</v>
      </c>
      <c r="C39" s="308"/>
      <c r="D39" s="294" t="s">
        <v>239</v>
      </c>
      <c r="E39" s="294"/>
      <c r="F39" s="107" t="s">
        <v>240</v>
      </c>
      <c r="G39" s="108" t="s">
        <v>241</v>
      </c>
      <c r="K39" s="315" t="s">
        <v>263</v>
      </c>
      <c r="L39" s="316"/>
      <c r="M39" s="110" t="s">
        <v>240</v>
      </c>
      <c r="N39" s="110" t="s">
        <v>249</v>
      </c>
    </row>
    <row r="40" spans="2:14" ht="20.100000000000001" customHeight="1">
      <c r="B40" s="309"/>
      <c r="C40" s="310"/>
      <c r="D40" s="313" t="s">
        <v>242</v>
      </c>
      <c r="E40" s="314"/>
      <c r="F40" s="190">
        <f>VLOOKUP(C38,$L$40:$N$41,2,FALSE)</f>
        <v>0.83</v>
      </c>
      <c r="G40" s="191">
        <f>VLOOKUP(C38,$L$40:$N$41,3,FALSE)</f>
        <v>0.17</v>
      </c>
      <c r="K40" s="126"/>
      <c r="L40" s="127" t="s">
        <v>423</v>
      </c>
      <c r="M40" s="110">
        <v>0.83</v>
      </c>
      <c r="N40" s="110">
        <v>0.17</v>
      </c>
    </row>
    <row r="41" spans="2:14" ht="30" customHeight="1" thickBot="1">
      <c r="B41" s="319"/>
      <c r="C41" s="320"/>
      <c r="D41" s="187" t="s">
        <v>244</v>
      </c>
      <c r="E41" s="109" t="s">
        <v>245</v>
      </c>
      <c r="F41" s="297" t="s">
        <v>413</v>
      </c>
      <c r="G41" s="298"/>
      <c r="K41" s="126"/>
      <c r="L41" s="127" t="s">
        <v>424</v>
      </c>
      <c r="M41" s="110">
        <v>0.77</v>
      </c>
      <c r="N41" s="110">
        <v>0.23</v>
      </c>
    </row>
    <row r="42" spans="2:14" ht="20.100000000000001" customHeight="1">
      <c r="B42" s="299" t="s">
        <v>414</v>
      </c>
      <c r="C42" s="300"/>
      <c r="D42" s="111" t="s">
        <v>415</v>
      </c>
      <c r="E42" s="111" t="s">
        <v>415</v>
      </c>
      <c r="F42" s="204">
        <v>0.11</v>
      </c>
      <c r="G42" s="205">
        <f>IF(G40=0,0,0.11)</f>
        <v>0.11</v>
      </c>
      <c r="K42" s="106"/>
      <c r="L42" s="106"/>
      <c r="M42" s="106"/>
      <c r="N42" s="106"/>
    </row>
    <row r="43" spans="2:14" ht="20.100000000000001" customHeight="1">
      <c r="B43" s="301" t="s">
        <v>306</v>
      </c>
      <c r="C43" s="303"/>
      <c r="D43" s="208">
        <f>IFERROR(VLOOKUP(B43,DATAｼｰﾄ!B49:C51,2,FALSE),"")</f>
        <v>0.22</v>
      </c>
      <c r="E43" s="200">
        <v>9.4999999999999998E-3</v>
      </c>
      <c r="F43" s="195">
        <f>IF(B43=0,"",E43/D43)</f>
        <v>4.3181818181818182E-2</v>
      </c>
      <c r="G43" s="196">
        <f>IF(B43=0,"",E43/D43)</f>
        <v>4.3181818181818182E-2</v>
      </c>
      <c r="L43" s="128"/>
      <c r="M43" s="106"/>
      <c r="N43" s="106"/>
    </row>
    <row r="44" spans="2:14" ht="20.100000000000001" customHeight="1">
      <c r="B44" s="301" t="s">
        <v>264</v>
      </c>
      <c r="C44" s="302"/>
      <c r="D44" s="194">
        <f>IFERROR((VLOOKUP(B44,DATAｼｰﾄ!I16:J34,2,FALSE)),"")</f>
        <v>3.7999999999999999E-2</v>
      </c>
      <c r="E44" s="194">
        <v>8.5000000000000006E-2</v>
      </c>
      <c r="F44" s="195">
        <f>IF(B44=0,"",E44/D44)</f>
        <v>2.236842105263158</v>
      </c>
      <c r="G44" s="196"/>
      <c r="K44" s="106" t="s">
        <v>432</v>
      </c>
      <c r="L44" s="106"/>
      <c r="M44" s="106"/>
      <c r="N44" s="106"/>
    </row>
    <row r="45" spans="2:14" ht="20.100000000000001" customHeight="1">
      <c r="B45" s="301" t="s">
        <v>311</v>
      </c>
      <c r="C45" s="303"/>
      <c r="D45" s="209">
        <f>IFERROR(VLOOKUP(B45,DATAｼｰﾄ!B47:C48,2,FALSE),"")</f>
        <v>0.12</v>
      </c>
      <c r="E45" s="194">
        <f>E44</f>
        <v>8.5000000000000006E-2</v>
      </c>
      <c r="F45" s="195"/>
      <c r="G45" s="196">
        <f>IF(B45=0,"",E45/D45)</f>
        <v>0.70833333333333337</v>
      </c>
      <c r="I45" s="214" t="s">
        <v>474</v>
      </c>
      <c r="K45" s="106" t="s">
        <v>436</v>
      </c>
      <c r="L45" s="106"/>
      <c r="M45" s="106"/>
      <c r="N45" s="106"/>
    </row>
    <row r="46" spans="2:14" ht="20.100000000000001" customHeight="1">
      <c r="B46" s="301" t="s">
        <v>307</v>
      </c>
      <c r="C46" s="303"/>
      <c r="D46" s="209">
        <f>IFERROR(VLOOKUP(B46,DATAｼｰﾄ!B49:C54,2,FALSE),"")</f>
        <v>0.16</v>
      </c>
      <c r="E46" s="194">
        <v>8.9999999999999993E-3</v>
      </c>
      <c r="F46" s="195">
        <f>IF(B46=0,"",E46/D46)</f>
        <v>5.6249999999999994E-2</v>
      </c>
      <c r="G46" s="196">
        <f>IF(B46=0,"",E46/D46)</f>
        <v>5.6249999999999994E-2</v>
      </c>
      <c r="I46" s="214" t="s">
        <v>473</v>
      </c>
      <c r="K46" s="106"/>
      <c r="L46" s="106"/>
      <c r="M46" s="106"/>
      <c r="N46" s="106"/>
    </row>
    <row r="47" spans="2:14" ht="20.100000000000001" customHeight="1">
      <c r="B47" s="301"/>
      <c r="C47" s="303"/>
      <c r="D47" s="194"/>
      <c r="E47" s="194"/>
      <c r="F47" s="195"/>
      <c r="G47" s="196"/>
      <c r="K47" s="129" t="s">
        <v>265</v>
      </c>
      <c r="L47" s="106"/>
      <c r="M47" s="106"/>
      <c r="N47" s="106"/>
    </row>
    <row r="48" spans="2:14" ht="20.100000000000001" customHeight="1">
      <c r="B48" s="301"/>
      <c r="C48" s="303"/>
      <c r="D48" s="194"/>
      <c r="E48" s="194"/>
      <c r="F48" s="195"/>
      <c r="G48" s="196"/>
      <c r="K48" s="129" t="s">
        <v>266</v>
      </c>
      <c r="L48" s="106"/>
      <c r="M48" s="106"/>
      <c r="N48" s="106"/>
    </row>
    <row r="49" spans="2:14" ht="20.100000000000001" customHeight="1">
      <c r="B49" s="311" t="s">
        <v>416</v>
      </c>
      <c r="C49" s="312"/>
      <c r="D49" s="115" t="s">
        <v>417</v>
      </c>
      <c r="E49" s="115" t="s">
        <v>417</v>
      </c>
      <c r="F49" s="206">
        <v>0.11</v>
      </c>
      <c r="G49" s="207">
        <f>IF(G40=0,0,0.11)</f>
        <v>0.11</v>
      </c>
      <c r="K49" s="129"/>
      <c r="L49" s="106"/>
      <c r="M49" s="106"/>
      <c r="N49" s="106"/>
    </row>
    <row r="50" spans="2:14" ht="20.100000000000001" customHeight="1">
      <c r="B50" s="304" t="s">
        <v>255</v>
      </c>
      <c r="C50" s="305"/>
      <c r="D50" s="305"/>
      <c r="E50" s="306"/>
      <c r="F50" s="116">
        <f>SUM(F42:F49)</f>
        <v>2.5562739234449761</v>
      </c>
      <c r="G50" s="117">
        <f>SUM(G42:G49)</f>
        <v>1.0277651515151516</v>
      </c>
      <c r="K50" s="129"/>
      <c r="L50" s="106"/>
      <c r="M50" s="106"/>
      <c r="N50" s="106"/>
    </row>
    <row r="51" spans="2:14" ht="20.100000000000001" customHeight="1">
      <c r="B51" s="304" t="s">
        <v>256</v>
      </c>
      <c r="C51" s="305"/>
      <c r="D51" s="305"/>
      <c r="E51" s="306"/>
      <c r="F51" s="118">
        <f>IF(F50=0,"0.000",1/F50)</f>
        <v>0.39119438289788</v>
      </c>
      <c r="G51" s="119">
        <f>IF(G50=0,"0.000",1/G50)</f>
        <v>0.9729849261047433</v>
      </c>
      <c r="K51" s="129"/>
      <c r="L51" s="106"/>
      <c r="M51" s="106"/>
      <c r="N51" s="106"/>
    </row>
    <row r="52" spans="2:14" ht="20.100000000000001" customHeight="1" thickBot="1">
      <c r="B52" s="289" t="s">
        <v>257</v>
      </c>
      <c r="C52" s="290"/>
      <c r="D52" s="290"/>
      <c r="E52" s="291"/>
      <c r="F52" s="292">
        <f>IF(F50=0,"",(F40*F51)+(G40*G51))</f>
        <v>0.49009877524304679</v>
      </c>
      <c r="G52" s="293"/>
      <c r="K52" s="106"/>
      <c r="L52" s="106"/>
      <c r="M52" s="106"/>
      <c r="N52" s="106"/>
    </row>
    <row r="54" spans="2:14" ht="15" customHeight="1" thickBot="1">
      <c r="B54" s="4" t="s">
        <v>407</v>
      </c>
      <c r="C54" s="102"/>
    </row>
    <row r="55" spans="2:14" ht="20.100000000000001" customHeight="1" thickBot="1">
      <c r="B55" s="103" t="s">
        <v>411</v>
      </c>
      <c r="C55" s="203" t="s">
        <v>425</v>
      </c>
      <c r="D55" s="104" t="s">
        <v>412</v>
      </c>
      <c r="E55" s="104"/>
      <c r="F55" s="104"/>
      <c r="G55" s="105"/>
      <c r="K55" s="106" t="s">
        <v>267</v>
      </c>
      <c r="L55" s="106"/>
      <c r="M55" s="315" t="s">
        <v>243</v>
      </c>
      <c r="N55" s="316"/>
    </row>
    <row r="56" spans="2:14" ht="20.100000000000001" customHeight="1">
      <c r="B56" s="307" t="s">
        <v>0</v>
      </c>
      <c r="C56" s="308"/>
      <c r="D56" s="294" t="s">
        <v>239</v>
      </c>
      <c r="E56" s="294"/>
      <c r="F56" s="107" t="s">
        <v>240</v>
      </c>
      <c r="G56" s="108" t="s">
        <v>241</v>
      </c>
      <c r="K56" s="315" t="s">
        <v>268</v>
      </c>
      <c r="L56" s="316"/>
      <c r="M56" s="110" t="s">
        <v>240</v>
      </c>
      <c r="N56" s="110" t="s">
        <v>249</v>
      </c>
    </row>
    <row r="57" spans="2:14" ht="20.100000000000001" customHeight="1">
      <c r="B57" s="309"/>
      <c r="C57" s="310"/>
      <c r="D57" s="313" t="s">
        <v>242</v>
      </c>
      <c r="E57" s="314"/>
      <c r="F57" s="190">
        <f>VLOOKUP(C55,$L$57:$N$60,2,FALSE)</f>
        <v>0.85</v>
      </c>
      <c r="G57" s="191">
        <f>VLOOKUP(C55,$L$57:$N$60,3,FALSE)</f>
        <v>0.15</v>
      </c>
      <c r="K57" s="130"/>
      <c r="L57" s="131" t="s">
        <v>425</v>
      </c>
      <c r="M57" s="110">
        <v>0.85</v>
      </c>
      <c r="N57" s="110">
        <v>0.15</v>
      </c>
    </row>
    <row r="58" spans="2:14" ht="30" customHeight="1" thickBot="1">
      <c r="B58" s="319"/>
      <c r="C58" s="320"/>
      <c r="D58" s="187" t="s">
        <v>244</v>
      </c>
      <c r="E58" s="109" t="s">
        <v>245</v>
      </c>
      <c r="F58" s="297" t="s">
        <v>413</v>
      </c>
      <c r="G58" s="298"/>
      <c r="K58" s="126"/>
      <c r="L58" s="127" t="s">
        <v>426</v>
      </c>
      <c r="M58" s="112">
        <v>0.8</v>
      </c>
      <c r="N58" s="112">
        <v>0.2</v>
      </c>
    </row>
    <row r="59" spans="2:14" ht="20.100000000000001" customHeight="1">
      <c r="B59" s="299" t="s">
        <v>414</v>
      </c>
      <c r="C59" s="300"/>
      <c r="D59" s="111" t="s">
        <v>415</v>
      </c>
      <c r="E59" s="111" t="s">
        <v>415</v>
      </c>
      <c r="F59" s="192">
        <v>0.15</v>
      </c>
      <c r="G59" s="193">
        <f>IF(G57=0,0,0.15)</f>
        <v>0.15</v>
      </c>
      <c r="K59" s="126"/>
      <c r="L59" s="127" t="s">
        <v>427</v>
      </c>
      <c r="M59" s="112">
        <v>0.7</v>
      </c>
      <c r="N59" s="112">
        <v>0.3</v>
      </c>
    </row>
    <row r="60" spans="2:14" ht="20.100000000000001" customHeight="1">
      <c r="B60" s="301" t="s">
        <v>308</v>
      </c>
      <c r="C60" s="303"/>
      <c r="D60" s="209">
        <f>IFERROR(VLOOKUP(B60,DATAｼｰﾄ!B42:C47,2,FALSE),"")</f>
        <v>0.16</v>
      </c>
      <c r="E60" s="194">
        <v>1.2E-2</v>
      </c>
      <c r="F60" s="195">
        <f>IF(B60=0,"",E60/D60)</f>
        <v>7.4999999999999997E-2</v>
      </c>
      <c r="G60" s="196">
        <f>IF(B60=0,"",E60/D60)</f>
        <v>7.4999999999999997E-2</v>
      </c>
      <c r="K60" s="126"/>
      <c r="L60" s="127" t="s">
        <v>428</v>
      </c>
      <c r="M60" s="110">
        <v>0.87</v>
      </c>
      <c r="N60" s="110">
        <v>0.13</v>
      </c>
    </row>
    <row r="61" spans="2:14" ht="20.100000000000001" customHeight="1">
      <c r="B61" s="301" t="s">
        <v>307</v>
      </c>
      <c r="C61" s="303"/>
      <c r="D61" s="209">
        <f>IFERROR(VLOOKUP(B61,DATAｼｰﾄ!B42:C47,2,FALSE),"")</f>
        <v>0.16</v>
      </c>
      <c r="E61" s="194">
        <v>2.4E-2</v>
      </c>
      <c r="F61" s="195">
        <f>IF(B61=0,"",E61/D61)</f>
        <v>0.15</v>
      </c>
      <c r="G61" s="196">
        <f>IF(B61=0,"",E61/D61)</f>
        <v>0.15</v>
      </c>
    </row>
    <row r="62" spans="2:14" ht="20.100000000000001" customHeight="1">
      <c r="B62" s="301" t="s">
        <v>269</v>
      </c>
      <c r="C62" s="303"/>
      <c r="D62" s="209">
        <f>IFERROR(VLOOKUP(B62,DATAｼｰﾄ!L16:M31,2,FALSE),"")</f>
        <v>3.5999999999999997E-2</v>
      </c>
      <c r="E62" s="194">
        <v>0.08</v>
      </c>
      <c r="F62" s="195">
        <f>IF(B62=0,"",E62/D62)</f>
        <v>2.2222222222222223</v>
      </c>
      <c r="G62" s="196"/>
      <c r="K62" s="106" t="s">
        <v>433</v>
      </c>
    </row>
    <row r="63" spans="2:14" ht="20.100000000000001" customHeight="1">
      <c r="B63" s="301" t="s">
        <v>311</v>
      </c>
      <c r="C63" s="303"/>
      <c r="D63" s="209">
        <f>IFERROR(VLOOKUP(B63,DATAｼｰﾄ!B47:C48,2,FALSE),"")</f>
        <v>0.12</v>
      </c>
      <c r="E63" s="194">
        <f>E62</f>
        <v>0.08</v>
      </c>
      <c r="F63" s="195"/>
      <c r="G63" s="196">
        <f>IF(B63=0,"",E63/D63)</f>
        <v>0.66666666666666674</v>
      </c>
      <c r="K63" s="106" t="s">
        <v>437</v>
      </c>
    </row>
    <row r="64" spans="2:14" ht="20.100000000000001" customHeight="1">
      <c r="B64" s="301"/>
      <c r="C64" s="303"/>
      <c r="D64" s="194"/>
      <c r="E64" s="194"/>
      <c r="F64" s="195" t="str">
        <f t="shared" ref="F64:F65" si="4">IF(D64=0,"",E64/D64)</f>
        <v/>
      </c>
      <c r="G64" s="196" t="str">
        <f t="shared" ref="G64:G65" si="5">IF(D64=0,"",E64/D64)</f>
        <v/>
      </c>
    </row>
    <row r="65" spans="2:14" ht="20.100000000000001" customHeight="1">
      <c r="B65" s="301"/>
      <c r="C65" s="303"/>
      <c r="D65" s="194"/>
      <c r="E65" s="194"/>
      <c r="F65" s="195" t="str">
        <f t="shared" si="4"/>
        <v/>
      </c>
      <c r="G65" s="196" t="str">
        <f t="shared" si="5"/>
        <v/>
      </c>
    </row>
    <row r="66" spans="2:14" ht="20.100000000000001" customHeight="1">
      <c r="B66" s="311" t="s">
        <v>416</v>
      </c>
      <c r="C66" s="312"/>
      <c r="D66" s="115" t="s">
        <v>417</v>
      </c>
      <c r="E66" s="115" t="s">
        <v>417</v>
      </c>
      <c r="F66" s="197">
        <v>0.15</v>
      </c>
      <c r="G66" s="198">
        <f>IF(G57=0,0,0.15)</f>
        <v>0.15</v>
      </c>
    </row>
    <row r="67" spans="2:14" ht="20.100000000000001" customHeight="1">
      <c r="B67" s="304" t="s">
        <v>255</v>
      </c>
      <c r="C67" s="305"/>
      <c r="D67" s="305"/>
      <c r="E67" s="306"/>
      <c r="F67" s="116">
        <f>SUM(F59:F66)</f>
        <v>2.7472222222222222</v>
      </c>
      <c r="G67" s="117">
        <f>SUM(G59:G66)</f>
        <v>1.1916666666666667</v>
      </c>
    </row>
    <row r="68" spans="2:14" ht="20.100000000000001" customHeight="1">
      <c r="B68" s="304" t="s">
        <v>256</v>
      </c>
      <c r="C68" s="305"/>
      <c r="D68" s="305"/>
      <c r="E68" s="306"/>
      <c r="F68" s="118">
        <f>IF(F67=0,"0.000",1/F67)</f>
        <v>0.36400404448938323</v>
      </c>
      <c r="G68" s="119">
        <f>IF(G67=0,"0.000",1/G67)</f>
        <v>0.83916083916083917</v>
      </c>
    </row>
    <row r="69" spans="2:14" ht="20.100000000000001" customHeight="1" thickBot="1">
      <c r="B69" s="289" t="s">
        <v>257</v>
      </c>
      <c r="C69" s="290"/>
      <c r="D69" s="290"/>
      <c r="E69" s="291"/>
      <c r="F69" s="292">
        <f>IF(F67=0,"",(F57*F68)+(G57*G68))</f>
        <v>0.43527756369010162</v>
      </c>
      <c r="G69" s="293"/>
    </row>
    <row r="71" spans="2:14" ht="20.100000000000001" customHeight="1" thickBot="1">
      <c r="B71" s="4" t="s">
        <v>408</v>
      </c>
      <c r="C71" s="102"/>
    </row>
    <row r="72" spans="2:14" ht="20.100000000000001" customHeight="1" thickBot="1">
      <c r="B72" s="103" t="s">
        <v>411</v>
      </c>
      <c r="C72" s="203" t="s">
        <v>448</v>
      </c>
      <c r="D72" s="104" t="s">
        <v>412</v>
      </c>
      <c r="E72" s="104"/>
      <c r="F72" s="104"/>
      <c r="G72" s="105"/>
    </row>
    <row r="73" spans="2:14" ht="20.100000000000001" customHeight="1">
      <c r="B73" s="307" t="s">
        <v>0</v>
      </c>
      <c r="C73" s="308"/>
      <c r="D73" s="294" t="s">
        <v>239</v>
      </c>
      <c r="E73" s="294"/>
      <c r="F73" s="107" t="s">
        <v>240</v>
      </c>
      <c r="G73" s="108" t="s">
        <v>241</v>
      </c>
    </row>
    <row r="74" spans="2:14" ht="20.100000000000001" customHeight="1">
      <c r="B74" s="309"/>
      <c r="C74" s="310"/>
      <c r="D74" s="313" t="s">
        <v>242</v>
      </c>
      <c r="E74" s="314"/>
      <c r="F74" s="190">
        <f>VLOOKUP(C72,$L$76:$N$78,2,FALSE)</f>
        <v>0.85</v>
      </c>
      <c r="G74" s="191">
        <f>VLOOKUP(C72,$L$76:$N$78,3,FALSE)</f>
        <v>0.15</v>
      </c>
      <c r="K74" s="106" t="s">
        <v>451</v>
      </c>
      <c r="L74" s="106"/>
      <c r="M74" s="315" t="s">
        <v>243</v>
      </c>
      <c r="N74" s="316"/>
    </row>
    <row r="75" spans="2:14" ht="30" customHeight="1" thickBot="1">
      <c r="B75" s="321"/>
      <c r="C75" s="322"/>
      <c r="D75" s="187" t="s">
        <v>244</v>
      </c>
      <c r="E75" s="109" t="s">
        <v>245</v>
      </c>
      <c r="F75" s="297" t="s">
        <v>413</v>
      </c>
      <c r="G75" s="298"/>
      <c r="K75" s="315" t="s">
        <v>268</v>
      </c>
      <c r="L75" s="316"/>
      <c r="M75" s="110" t="s">
        <v>240</v>
      </c>
      <c r="N75" s="110" t="s">
        <v>249</v>
      </c>
    </row>
    <row r="76" spans="2:14" ht="20.100000000000001" customHeight="1">
      <c r="B76" s="299" t="s">
        <v>414</v>
      </c>
      <c r="C76" s="300"/>
      <c r="D76" s="111" t="s">
        <v>415</v>
      </c>
      <c r="E76" s="111" t="s">
        <v>415</v>
      </c>
      <c r="F76" s="192">
        <v>0.15</v>
      </c>
      <c r="G76" s="193">
        <f>IF(G74=0,0,0.15)</f>
        <v>0.15</v>
      </c>
      <c r="K76" s="130"/>
      <c r="L76" s="131" t="s">
        <v>448</v>
      </c>
      <c r="M76" s="110">
        <v>0.85</v>
      </c>
      <c r="N76" s="110">
        <v>0.15</v>
      </c>
    </row>
    <row r="77" spans="2:14" ht="20.100000000000001" customHeight="1">
      <c r="B77" s="301" t="s">
        <v>308</v>
      </c>
      <c r="C77" s="303"/>
      <c r="D77" s="209">
        <f>IFERROR(VLOOKUP(B77,DATAｼｰﾄ!B42:C47,2,FALSE),"")</f>
        <v>0.16</v>
      </c>
      <c r="E77" s="194">
        <v>1.2E-2</v>
      </c>
      <c r="F77" s="195">
        <f>IF(B77=0,"",E77/D77)</f>
        <v>7.4999999999999997E-2</v>
      </c>
      <c r="G77" s="196">
        <f>IF(B77=0,"",E77/D77)</f>
        <v>7.4999999999999997E-2</v>
      </c>
      <c r="K77" s="126"/>
      <c r="L77" s="127" t="s">
        <v>449</v>
      </c>
      <c r="M77" s="112">
        <v>0.8</v>
      </c>
      <c r="N77" s="112">
        <v>0.2</v>
      </c>
    </row>
    <row r="78" spans="2:14" ht="20.100000000000001" customHeight="1">
      <c r="B78" s="301" t="s">
        <v>307</v>
      </c>
      <c r="C78" s="303"/>
      <c r="D78" s="209">
        <f>IFERROR(VLOOKUP(B78,DATAｼｰﾄ!B42:C47,2,FALSE),"")</f>
        <v>0.16</v>
      </c>
      <c r="E78" s="194">
        <v>2.4E-2</v>
      </c>
      <c r="F78" s="195">
        <f>IF(B78=0,"",E78/D78)</f>
        <v>0.15</v>
      </c>
      <c r="G78" s="196">
        <f>IF(B78=0,"",E78/D78)</f>
        <v>0.15</v>
      </c>
      <c r="K78" s="126"/>
      <c r="L78" s="127" t="s">
        <v>450</v>
      </c>
      <c r="M78" s="110">
        <v>0.87</v>
      </c>
      <c r="N78" s="110">
        <v>0.13</v>
      </c>
    </row>
    <row r="79" spans="2:14" ht="20.100000000000001" customHeight="1">
      <c r="B79" s="301" t="s">
        <v>269</v>
      </c>
      <c r="C79" s="303"/>
      <c r="D79" s="209">
        <f>IFERROR(VLOOKUP(B79,DATAｼｰﾄ!L16:M31,2,FALSE),"")</f>
        <v>3.5999999999999997E-2</v>
      </c>
      <c r="E79" s="194">
        <v>0.12</v>
      </c>
      <c r="F79" s="195">
        <f>IF(B79=0,"",E79/D79)</f>
        <v>3.3333333333333335</v>
      </c>
      <c r="G79" s="196"/>
    </row>
    <row r="80" spans="2:14" ht="20.100000000000001" customHeight="1">
      <c r="B80" s="301" t="s">
        <v>311</v>
      </c>
      <c r="C80" s="303"/>
      <c r="D80" s="209">
        <f>IFERROR(VLOOKUP(B80,DATAｼｰﾄ!B47:C48,2,FALSE),"")</f>
        <v>0.12</v>
      </c>
      <c r="E80" s="194">
        <f>E79</f>
        <v>0.12</v>
      </c>
      <c r="F80" s="195"/>
      <c r="G80" s="196">
        <f>IF(B80=0,"",E80/D80)</f>
        <v>1</v>
      </c>
      <c r="K80" s="106" t="s">
        <v>434</v>
      </c>
    </row>
    <row r="81" spans="2:11" ht="20.100000000000001" customHeight="1">
      <c r="B81" s="301"/>
      <c r="C81" s="303"/>
      <c r="D81" s="194"/>
      <c r="E81" s="194"/>
      <c r="F81" s="195" t="str">
        <f t="shared" ref="F81:F82" si="6">IF(D81=0,"",E81/D81)</f>
        <v/>
      </c>
      <c r="G81" s="196" t="str">
        <f t="shared" ref="G81:G82" si="7">IF(D81=0,"",E81/D81)</f>
        <v/>
      </c>
      <c r="K81" s="106" t="s">
        <v>438</v>
      </c>
    </row>
    <row r="82" spans="2:11" ht="20.100000000000001" customHeight="1">
      <c r="B82" s="301"/>
      <c r="C82" s="302"/>
      <c r="D82" s="194"/>
      <c r="E82" s="194"/>
      <c r="F82" s="195" t="str">
        <f t="shared" si="6"/>
        <v/>
      </c>
      <c r="G82" s="196" t="str">
        <f t="shared" si="7"/>
        <v/>
      </c>
      <c r="K82" s="106"/>
    </row>
    <row r="83" spans="2:11" ht="20.100000000000001" customHeight="1">
      <c r="B83" s="311" t="s">
        <v>416</v>
      </c>
      <c r="C83" s="312"/>
      <c r="D83" s="115" t="s">
        <v>417</v>
      </c>
      <c r="E83" s="115" t="s">
        <v>417</v>
      </c>
      <c r="F83" s="197">
        <v>0.04</v>
      </c>
      <c r="G83" s="198">
        <f>IF(G77=0,0,0.04)</f>
        <v>0.04</v>
      </c>
    </row>
    <row r="84" spans="2:11" ht="20.100000000000001" customHeight="1">
      <c r="B84" s="304" t="s">
        <v>255</v>
      </c>
      <c r="C84" s="305"/>
      <c r="D84" s="305"/>
      <c r="E84" s="306"/>
      <c r="F84" s="116">
        <f>SUM(F76:F83)</f>
        <v>3.7483333333333335</v>
      </c>
      <c r="G84" s="117">
        <f>SUM(G76:G83)</f>
        <v>1.415</v>
      </c>
    </row>
    <row r="85" spans="2:11" ht="20.100000000000001" customHeight="1">
      <c r="B85" s="304" t="s">
        <v>256</v>
      </c>
      <c r="C85" s="305"/>
      <c r="D85" s="305"/>
      <c r="E85" s="306"/>
      <c r="F85" s="118">
        <f>IF(F84=0,"0.000",1/F84)</f>
        <v>0.26678523788350378</v>
      </c>
      <c r="G85" s="119">
        <f>IF(G84=0,"0.000",1/G84)</f>
        <v>0.70671378091872794</v>
      </c>
    </row>
    <row r="86" spans="2:11" ht="20.100000000000001" customHeight="1" thickBot="1">
      <c r="B86" s="289" t="s">
        <v>257</v>
      </c>
      <c r="C86" s="290"/>
      <c r="D86" s="290"/>
      <c r="E86" s="291"/>
      <c r="F86" s="292">
        <f>IF(F84=0,"",(F74*F85)+(G74*G85))</f>
        <v>0.33277451933878743</v>
      </c>
      <c r="G86" s="293"/>
    </row>
    <row r="88" spans="2:11" ht="15" customHeight="1" thickBot="1">
      <c r="B88" s="4" t="s">
        <v>409</v>
      </c>
      <c r="C88" s="102"/>
    </row>
    <row r="89" spans="2:11" ht="20.100000000000001" customHeight="1" thickBot="1">
      <c r="B89" s="103" t="s">
        <v>411</v>
      </c>
      <c r="C89" s="203" t="s">
        <v>452</v>
      </c>
      <c r="D89" s="104" t="s">
        <v>412</v>
      </c>
      <c r="E89" s="104"/>
      <c r="F89" s="104"/>
      <c r="G89" s="105"/>
    </row>
    <row r="90" spans="2:11" ht="20.100000000000001" customHeight="1">
      <c r="B90" s="307" t="s">
        <v>0</v>
      </c>
      <c r="C90" s="308"/>
      <c r="D90" s="294" t="s">
        <v>239</v>
      </c>
      <c r="E90" s="294"/>
      <c r="F90" s="107" t="s">
        <v>240</v>
      </c>
      <c r="G90" s="108" t="s">
        <v>475</v>
      </c>
    </row>
    <row r="91" spans="2:11" ht="20.100000000000001" customHeight="1">
      <c r="B91" s="309"/>
      <c r="C91" s="310"/>
      <c r="D91" s="313" t="s">
        <v>242</v>
      </c>
      <c r="E91" s="314"/>
      <c r="F91" s="190">
        <v>1</v>
      </c>
      <c r="G91" s="210" t="s">
        <v>458</v>
      </c>
    </row>
    <row r="92" spans="2:11" ht="30" customHeight="1" thickBot="1">
      <c r="B92" s="323" t="s">
        <v>478</v>
      </c>
      <c r="C92" s="324"/>
      <c r="D92" s="187" t="s">
        <v>244</v>
      </c>
      <c r="E92" s="109" t="s">
        <v>245</v>
      </c>
      <c r="F92" s="297" t="s">
        <v>413</v>
      </c>
      <c r="G92" s="298"/>
    </row>
    <row r="93" spans="2:11" ht="20.100000000000001" customHeight="1">
      <c r="B93" s="299" t="s">
        <v>414</v>
      </c>
      <c r="C93" s="300"/>
      <c r="D93" s="111" t="s">
        <v>415</v>
      </c>
      <c r="E93" s="111" t="s">
        <v>415</v>
      </c>
      <c r="F93" s="192">
        <v>0.11</v>
      </c>
      <c r="G93" s="211" t="s">
        <v>251</v>
      </c>
    </row>
    <row r="94" spans="2:11" ht="20.100000000000001" customHeight="1">
      <c r="B94" s="301" t="s">
        <v>457</v>
      </c>
      <c r="C94" s="302"/>
      <c r="D94" s="194">
        <f>VLOOKUP(B94,DATAｼｰﾄ!B55:C55,2,FALSE)</f>
        <v>1.6</v>
      </c>
      <c r="E94" s="194">
        <v>0.15</v>
      </c>
      <c r="F94" s="195">
        <f t="shared" ref="F94:F96" si="8">IF(D94=0,"",E94/D94)</f>
        <v>9.3749999999999986E-2</v>
      </c>
      <c r="G94" s="212" t="s">
        <v>251</v>
      </c>
    </row>
    <row r="95" spans="2:11" ht="20.100000000000001" customHeight="1">
      <c r="B95" s="301" t="s">
        <v>304</v>
      </c>
      <c r="C95" s="302"/>
      <c r="D95" s="194">
        <f>IFERROR(VLOOKUP(B95,DATAｼｰﾄ!L30:M32,2,FALSE),"")</f>
        <v>2.8000000000000001E-2</v>
      </c>
      <c r="E95" s="194">
        <v>0.05</v>
      </c>
      <c r="F95" s="195">
        <f>IF(B95=0,"",E95/D95)</f>
        <v>1.7857142857142858</v>
      </c>
      <c r="G95" s="212" t="s">
        <v>251</v>
      </c>
    </row>
    <row r="96" spans="2:11" ht="20.100000000000001" customHeight="1">
      <c r="B96" s="301"/>
      <c r="C96" s="303"/>
      <c r="D96" s="194"/>
      <c r="E96" s="194"/>
      <c r="F96" s="195" t="str">
        <f t="shared" si="8"/>
        <v/>
      </c>
      <c r="G96" s="212" t="s">
        <v>251</v>
      </c>
    </row>
    <row r="97" spans="2:7" ht="20.100000000000001" customHeight="1">
      <c r="B97" s="311" t="s">
        <v>479</v>
      </c>
      <c r="C97" s="312"/>
      <c r="D97" s="115" t="s">
        <v>417</v>
      </c>
      <c r="E97" s="115" t="s">
        <v>417</v>
      </c>
      <c r="F97" s="197">
        <v>0.04</v>
      </c>
      <c r="G97" s="213" t="s">
        <v>251</v>
      </c>
    </row>
    <row r="98" spans="2:7" ht="20.100000000000001" customHeight="1">
      <c r="B98" s="304" t="s">
        <v>255</v>
      </c>
      <c r="C98" s="305"/>
      <c r="D98" s="305"/>
      <c r="E98" s="306"/>
      <c r="F98" s="116">
        <f>SUM(F93:F97)</f>
        <v>2.0294642857142859</v>
      </c>
      <c r="G98" s="117">
        <f>SUM(G93:G97)</f>
        <v>0</v>
      </c>
    </row>
    <row r="99" spans="2:7" ht="20.100000000000001" customHeight="1">
      <c r="B99" s="304" t="s">
        <v>256</v>
      </c>
      <c r="C99" s="305"/>
      <c r="D99" s="305"/>
      <c r="E99" s="306"/>
      <c r="F99" s="118">
        <f>IF(F98=0,"0.000",1/F98)</f>
        <v>0.49274087109546849</v>
      </c>
      <c r="G99" s="119" t="str">
        <f>IF(G98=0,"0.000",1/G98)</f>
        <v>0.000</v>
      </c>
    </row>
    <row r="100" spans="2:7" ht="20.100000000000001" customHeight="1" thickBot="1">
      <c r="B100" s="289" t="s">
        <v>257</v>
      </c>
      <c r="C100" s="290"/>
      <c r="D100" s="290"/>
      <c r="E100" s="291"/>
      <c r="F100" s="292">
        <f>IF(F98=0,"",(F91*F99))</f>
        <v>0.49274087109546849</v>
      </c>
      <c r="G100" s="293"/>
    </row>
    <row r="102" spans="2:7" ht="15" customHeight="1" thickBot="1">
      <c r="B102" s="4" t="s">
        <v>410</v>
      </c>
      <c r="C102" s="102"/>
    </row>
    <row r="103" spans="2:7" ht="20.100000000000001" customHeight="1" thickBot="1">
      <c r="B103" s="103" t="s">
        <v>236</v>
      </c>
      <c r="C103" s="203" t="s">
        <v>452</v>
      </c>
      <c r="D103" s="104" t="s">
        <v>238</v>
      </c>
      <c r="E103" s="104"/>
      <c r="F103" s="104"/>
      <c r="G103" s="105"/>
    </row>
    <row r="104" spans="2:7" ht="20.100000000000001" customHeight="1">
      <c r="B104" s="307" t="s">
        <v>0</v>
      </c>
      <c r="C104" s="308"/>
      <c r="D104" s="294" t="s">
        <v>239</v>
      </c>
      <c r="E104" s="294"/>
      <c r="F104" s="107" t="s">
        <v>240</v>
      </c>
      <c r="G104" s="108" t="s">
        <v>251</v>
      </c>
    </row>
    <row r="105" spans="2:7" ht="20.100000000000001" customHeight="1">
      <c r="B105" s="309"/>
      <c r="C105" s="310"/>
      <c r="D105" s="313" t="s">
        <v>242</v>
      </c>
      <c r="E105" s="314"/>
      <c r="F105" s="190">
        <v>1</v>
      </c>
      <c r="G105" s="210" t="s">
        <v>251</v>
      </c>
    </row>
    <row r="106" spans="2:7" ht="30" customHeight="1" thickBot="1">
      <c r="B106" s="323" t="s">
        <v>454</v>
      </c>
      <c r="C106" s="324"/>
      <c r="D106" s="202" t="s">
        <v>244</v>
      </c>
      <c r="E106" s="109" t="s">
        <v>245</v>
      </c>
      <c r="F106" s="297" t="s">
        <v>246</v>
      </c>
      <c r="G106" s="298"/>
    </row>
    <row r="107" spans="2:7" ht="20.100000000000001" customHeight="1">
      <c r="B107" s="299" t="s">
        <v>414</v>
      </c>
      <c r="C107" s="300"/>
      <c r="D107" s="111" t="s">
        <v>250</v>
      </c>
      <c r="E107" s="111" t="s">
        <v>250</v>
      </c>
      <c r="F107" s="192">
        <v>0.11</v>
      </c>
      <c r="G107" s="211" t="s">
        <v>251</v>
      </c>
    </row>
    <row r="108" spans="2:7" ht="20.100000000000001" customHeight="1">
      <c r="B108" s="301" t="s">
        <v>457</v>
      </c>
      <c r="C108" s="302"/>
      <c r="D108" s="194">
        <f>VLOOKUP(B108,DATAｼｰﾄ!B55:C55,2,FALSE)</f>
        <v>1.6</v>
      </c>
      <c r="E108" s="194">
        <v>0.15</v>
      </c>
      <c r="F108" s="195">
        <f t="shared" ref="F108" si="9">IF(D108=0,"",E108/D108)</f>
        <v>9.3749999999999986E-2</v>
      </c>
      <c r="G108" s="212" t="s">
        <v>251</v>
      </c>
    </row>
    <row r="109" spans="2:7" ht="20.100000000000001" customHeight="1">
      <c r="B109" s="301" t="s">
        <v>304</v>
      </c>
      <c r="C109" s="303"/>
      <c r="D109" s="194">
        <f>IFERROR(VLOOKUP(B109,DATAｼｰﾄ!L30:M32,2,FALSE),"")</f>
        <v>2.8000000000000001E-2</v>
      </c>
      <c r="E109" s="194">
        <v>1.4999999999999999E-2</v>
      </c>
      <c r="F109" s="195">
        <f>IF(B109=0,"",E109/D109)</f>
        <v>0.5357142857142857</v>
      </c>
      <c r="G109" s="212" t="s">
        <v>251</v>
      </c>
    </row>
    <row r="110" spans="2:7" ht="20.100000000000001" customHeight="1">
      <c r="B110" s="301"/>
      <c r="C110" s="303"/>
      <c r="D110" s="194"/>
      <c r="E110" s="194"/>
      <c r="F110" s="195" t="str">
        <f t="shared" ref="F110" si="10">IF(D110=0,"",E110/D110)</f>
        <v/>
      </c>
      <c r="G110" s="212" t="s">
        <v>251</v>
      </c>
    </row>
    <row r="111" spans="2:7" ht="20.100000000000001" customHeight="1">
      <c r="B111" s="311" t="s">
        <v>480</v>
      </c>
      <c r="C111" s="312"/>
      <c r="D111" s="115" t="s">
        <v>250</v>
      </c>
      <c r="E111" s="115" t="s">
        <v>250</v>
      </c>
      <c r="F111" s="197">
        <v>0.11</v>
      </c>
      <c r="G111" s="213" t="s">
        <v>251</v>
      </c>
    </row>
    <row r="112" spans="2:7" ht="20.100000000000001" customHeight="1">
      <c r="B112" s="304" t="s">
        <v>255</v>
      </c>
      <c r="C112" s="305"/>
      <c r="D112" s="305"/>
      <c r="E112" s="306"/>
      <c r="F112" s="116">
        <f>SUM(F107:F111)</f>
        <v>0.84946428571428567</v>
      </c>
      <c r="G112" s="117">
        <f>SUM(G107:G111)</f>
        <v>0</v>
      </c>
    </row>
    <row r="113" spans="2:7" ht="20.100000000000001" customHeight="1">
      <c r="B113" s="304" t="s">
        <v>256</v>
      </c>
      <c r="C113" s="305"/>
      <c r="D113" s="305"/>
      <c r="E113" s="306"/>
      <c r="F113" s="118">
        <f>IF(F112=0,"0.000",1/F112)</f>
        <v>1.1772125289047719</v>
      </c>
      <c r="G113" s="119" t="str">
        <f>IF(G112=0,"0.000",1/G112)</f>
        <v>0.000</v>
      </c>
    </row>
    <row r="114" spans="2:7" ht="20.100000000000001" customHeight="1" thickBot="1">
      <c r="B114" s="289" t="s">
        <v>257</v>
      </c>
      <c r="C114" s="290"/>
      <c r="D114" s="290"/>
      <c r="E114" s="291"/>
      <c r="F114" s="292">
        <f>IF(F112=0,"",(F105*F113))</f>
        <v>1.1772125289047719</v>
      </c>
      <c r="G114" s="293"/>
    </row>
    <row r="116" spans="2:7" ht="15" customHeight="1" thickBot="1">
      <c r="B116" s="4" t="s">
        <v>471</v>
      </c>
      <c r="C116" s="102"/>
    </row>
    <row r="117" spans="2:7" ht="20.100000000000001" customHeight="1" thickBot="1">
      <c r="B117" s="103" t="s">
        <v>411</v>
      </c>
      <c r="C117" s="203" t="s">
        <v>453</v>
      </c>
      <c r="D117" s="104" t="s">
        <v>412</v>
      </c>
      <c r="E117" s="104"/>
      <c r="F117" s="104"/>
      <c r="G117" s="105"/>
    </row>
    <row r="118" spans="2:7" ht="20.100000000000001" customHeight="1">
      <c r="B118" s="307" t="s">
        <v>0</v>
      </c>
      <c r="C118" s="308"/>
      <c r="D118" s="294" t="s">
        <v>239</v>
      </c>
      <c r="E118" s="294"/>
      <c r="F118" s="107" t="s">
        <v>240</v>
      </c>
      <c r="G118" s="108" t="s">
        <v>251</v>
      </c>
    </row>
    <row r="119" spans="2:7" ht="20.100000000000001" customHeight="1">
      <c r="B119" s="309"/>
      <c r="C119" s="310"/>
      <c r="D119" s="313" t="s">
        <v>242</v>
      </c>
      <c r="E119" s="314"/>
      <c r="F119" s="190">
        <v>1</v>
      </c>
      <c r="G119" s="210" t="s">
        <v>251</v>
      </c>
    </row>
    <row r="120" spans="2:7" ht="30" customHeight="1" thickBot="1">
      <c r="B120" s="295" t="s">
        <v>455</v>
      </c>
      <c r="C120" s="296"/>
      <c r="D120" s="187" t="s">
        <v>244</v>
      </c>
      <c r="E120" s="109" t="s">
        <v>245</v>
      </c>
      <c r="F120" s="297" t="s">
        <v>413</v>
      </c>
      <c r="G120" s="298"/>
    </row>
    <row r="121" spans="2:7" ht="20.100000000000001" customHeight="1">
      <c r="B121" s="299" t="s">
        <v>414</v>
      </c>
      <c r="C121" s="300"/>
      <c r="D121" s="111" t="s">
        <v>415</v>
      </c>
      <c r="E121" s="111" t="s">
        <v>415</v>
      </c>
      <c r="F121" s="192">
        <v>0.11</v>
      </c>
      <c r="G121" s="211" t="s">
        <v>251</v>
      </c>
    </row>
    <row r="122" spans="2:7" ht="20.100000000000001" customHeight="1">
      <c r="B122" s="301" t="s">
        <v>457</v>
      </c>
      <c r="C122" s="302"/>
      <c r="D122" s="194">
        <f>VLOOKUP(B122,DATAｼｰﾄ!B55:C55,2,FALSE)</f>
        <v>1.6</v>
      </c>
      <c r="E122" s="194">
        <v>0.15</v>
      </c>
      <c r="F122" s="195">
        <f t="shared" ref="F122" si="11">IF(D122=0,"",E122/D122)</f>
        <v>9.3749999999999986E-2</v>
      </c>
      <c r="G122" s="212" t="s">
        <v>251</v>
      </c>
    </row>
    <row r="123" spans="2:7" ht="20.100000000000001" customHeight="1">
      <c r="B123" s="301" t="s">
        <v>304</v>
      </c>
      <c r="C123" s="302"/>
      <c r="D123" s="194">
        <f>IFERROR(VLOOKUP(B123,DATAｼｰﾄ!L30:M32,2,FALSE),"")</f>
        <v>2.8000000000000001E-2</v>
      </c>
      <c r="E123" s="194">
        <v>0.05</v>
      </c>
      <c r="F123" s="195">
        <f>IF(B123=0,"",E123/D123)</f>
        <v>1.7857142857142858</v>
      </c>
      <c r="G123" s="212" t="s">
        <v>251</v>
      </c>
    </row>
    <row r="124" spans="2:7" ht="20.100000000000001" customHeight="1">
      <c r="B124" s="301"/>
      <c r="C124" s="303"/>
      <c r="D124" s="194"/>
      <c r="E124" s="194"/>
      <c r="F124" s="195" t="str">
        <f t="shared" ref="F124" si="12">IF(D124=0,"",E124/D124)</f>
        <v/>
      </c>
      <c r="G124" s="212" t="s">
        <v>251</v>
      </c>
    </row>
    <row r="125" spans="2:7" ht="20.100000000000001" customHeight="1">
      <c r="B125" s="311" t="s">
        <v>479</v>
      </c>
      <c r="C125" s="312"/>
      <c r="D125" s="115" t="s">
        <v>417</v>
      </c>
      <c r="E125" s="115" t="s">
        <v>417</v>
      </c>
      <c r="F125" s="197">
        <v>0.04</v>
      </c>
      <c r="G125" s="213" t="s">
        <v>251</v>
      </c>
    </row>
    <row r="126" spans="2:7" ht="20.100000000000001" customHeight="1">
      <c r="B126" s="304" t="s">
        <v>255</v>
      </c>
      <c r="C126" s="305"/>
      <c r="D126" s="305"/>
      <c r="E126" s="306"/>
      <c r="F126" s="116">
        <f>SUM(F121:F125)</f>
        <v>2.0294642857142859</v>
      </c>
      <c r="G126" s="117">
        <f>SUM(G121:G125)</f>
        <v>0</v>
      </c>
    </row>
    <row r="127" spans="2:7" ht="20.100000000000001" customHeight="1">
      <c r="B127" s="304" t="s">
        <v>256</v>
      </c>
      <c r="C127" s="305"/>
      <c r="D127" s="305"/>
      <c r="E127" s="306"/>
      <c r="F127" s="118">
        <f>IF(F126=0,"0.000",1/F126)</f>
        <v>0.49274087109546849</v>
      </c>
      <c r="G127" s="119" t="str">
        <f>IF(G126=0,"0.000",1/G126)</f>
        <v>0.000</v>
      </c>
    </row>
    <row r="128" spans="2:7" ht="20.100000000000001" customHeight="1" thickBot="1">
      <c r="B128" s="289" t="s">
        <v>257</v>
      </c>
      <c r="C128" s="290"/>
      <c r="D128" s="290"/>
      <c r="E128" s="291"/>
      <c r="F128" s="292">
        <f>IF(F126=0,"",(F119*F127))</f>
        <v>0.49274087109546849</v>
      </c>
      <c r="G128" s="293"/>
    </row>
    <row r="130" spans="2:7" ht="15" customHeight="1" thickBot="1">
      <c r="B130" s="4" t="s">
        <v>472</v>
      </c>
      <c r="C130" s="102"/>
    </row>
    <row r="131" spans="2:7" ht="20.100000000000001" customHeight="1" thickBot="1">
      <c r="B131" s="103" t="s">
        <v>236</v>
      </c>
      <c r="C131" s="203" t="s">
        <v>453</v>
      </c>
      <c r="D131" s="104" t="s">
        <v>238</v>
      </c>
      <c r="E131" s="104"/>
      <c r="F131" s="104"/>
      <c r="G131" s="105"/>
    </row>
    <row r="132" spans="2:7" ht="20.100000000000001" customHeight="1">
      <c r="B132" s="307" t="s">
        <v>0</v>
      </c>
      <c r="C132" s="308"/>
      <c r="D132" s="294" t="s">
        <v>239</v>
      </c>
      <c r="E132" s="294"/>
      <c r="F132" s="107" t="s">
        <v>240</v>
      </c>
      <c r="G132" s="108" t="s">
        <v>251</v>
      </c>
    </row>
    <row r="133" spans="2:7" ht="20.100000000000001" customHeight="1">
      <c r="B133" s="309"/>
      <c r="C133" s="310"/>
      <c r="D133" s="313" t="s">
        <v>242</v>
      </c>
      <c r="E133" s="314"/>
      <c r="F133" s="190">
        <v>1</v>
      </c>
      <c r="G133" s="210" t="s">
        <v>251</v>
      </c>
    </row>
    <row r="134" spans="2:7" ht="30" customHeight="1" thickBot="1">
      <c r="B134" s="295" t="s">
        <v>456</v>
      </c>
      <c r="C134" s="296"/>
      <c r="D134" s="202" t="s">
        <v>244</v>
      </c>
      <c r="E134" s="109" t="s">
        <v>245</v>
      </c>
      <c r="F134" s="297" t="s">
        <v>246</v>
      </c>
      <c r="G134" s="298"/>
    </row>
    <row r="135" spans="2:7" ht="20.100000000000001" customHeight="1">
      <c r="B135" s="299" t="s">
        <v>414</v>
      </c>
      <c r="C135" s="300"/>
      <c r="D135" s="111" t="s">
        <v>250</v>
      </c>
      <c r="E135" s="111" t="s">
        <v>250</v>
      </c>
      <c r="F135" s="192">
        <v>0.11</v>
      </c>
      <c r="G135" s="211" t="s">
        <v>251</v>
      </c>
    </row>
    <row r="136" spans="2:7" ht="20.100000000000001" customHeight="1">
      <c r="B136" s="301" t="s">
        <v>457</v>
      </c>
      <c r="C136" s="302"/>
      <c r="D136" s="194">
        <f>VLOOKUP(B136,DATAｼｰﾄ!B55:C55,2,FALSE)</f>
        <v>1.6</v>
      </c>
      <c r="E136" s="194">
        <v>0.15</v>
      </c>
      <c r="F136" s="195">
        <f t="shared" ref="F136" si="13">IF(D136=0,"",E136/D136)</f>
        <v>9.3749999999999986E-2</v>
      </c>
      <c r="G136" s="212" t="s">
        <v>251</v>
      </c>
    </row>
    <row r="137" spans="2:7" ht="20.100000000000001" customHeight="1">
      <c r="B137" s="301" t="s">
        <v>304</v>
      </c>
      <c r="C137" s="302"/>
      <c r="D137" s="194">
        <f>IFERROR(VLOOKUP(B137,DATAｼｰﾄ!L30:M32,2,FALSE),"")</f>
        <v>2.8000000000000001E-2</v>
      </c>
      <c r="E137" s="194">
        <v>1.4999999999999999E-2</v>
      </c>
      <c r="F137" s="195">
        <f>IF(B137=0,"",E137/D137)</f>
        <v>0.5357142857142857</v>
      </c>
      <c r="G137" s="212" t="s">
        <v>251</v>
      </c>
    </row>
    <row r="138" spans="2:7" ht="20.100000000000001" customHeight="1">
      <c r="B138" s="301"/>
      <c r="C138" s="303"/>
      <c r="D138" s="194"/>
      <c r="E138" s="194"/>
      <c r="F138" s="195" t="str">
        <f t="shared" ref="F138" si="14">IF(D138=0,"",E138/D138)</f>
        <v/>
      </c>
      <c r="G138" s="212" t="s">
        <v>251</v>
      </c>
    </row>
    <row r="139" spans="2:7" ht="20.100000000000001" customHeight="1">
      <c r="B139" s="311" t="s">
        <v>480</v>
      </c>
      <c r="C139" s="312"/>
      <c r="D139" s="115" t="s">
        <v>250</v>
      </c>
      <c r="E139" s="115" t="s">
        <v>250</v>
      </c>
      <c r="F139" s="197">
        <v>0.11</v>
      </c>
      <c r="G139" s="213" t="s">
        <v>251</v>
      </c>
    </row>
    <row r="140" spans="2:7" ht="20.100000000000001" customHeight="1">
      <c r="B140" s="304" t="s">
        <v>255</v>
      </c>
      <c r="C140" s="305"/>
      <c r="D140" s="305"/>
      <c r="E140" s="306"/>
      <c r="F140" s="116">
        <f>SUM(F135:F139)</f>
        <v>0.84946428571428567</v>
      </c>
      <c r="G140" s="117">
        <f>SUM(G135:G139)</f>
        <v>0</v>
      </c>
    </row>
    <row r="141" spans="2:7" ht="20.100000000000001" customHeight="1">
      <c r="B141" s="304" t="s">
        <v>256</v>
      </c>
      <c r="C141" s="305"/>
      <c r="D141" s="305"/>
      <c r="E141" s="306"/>
      <c r="F141" s="118">
        <f>IF(F140=0,"0.000",1/F140)</f>
        <v>1.1772125289047719</v>
      </c>
      <c r="G141" s="119" t="str">
        <f>IF(G140=0,"0.000",1/G140)</f>
        <v>0.000</v>
      </c>
    </row>
    <row r="142" spans="2:7" ht="20.100000000000001" customHeight="1" thickBot="1">
      <c r="B142" s="289" t="s">
        <v>257</v>
      </c>
      <c r="C142" s="290"/>
      <c r="D142" s="290"/>
      <c r="E142" s="291"/>
      <c r="F142" s="292">
        <f>IF(F140=0,"",(F133*F141))</f>
        <v>1.1772125289047719</v>
      </c>
      <c r="G142" s="293"/>
    </row>
  </sheetData>
  <sheetProtection selectLockedCells="1"/>
  <mergeCells count="151">
    <mergeCell ref="M55:N55"/>
    <mergeCell ref="K56:L56"/>
    <mergeCell ref="K2:N2"/>
    <mergeCell ref="M21:N21"/>
    <mergeCell ref="M38:N38"/>
    <mergeCell ref="K39:L39"/>
    <mergeCell ref="F100:G100"/>
    <mergeCell ref="B2:G2"/>
    <mergeCell ref="B34:E34"/>
    <mergeCell ref="B51:E51"/>
    <mergeCell ref="B47:C47"/>
    <mergeCell ref="B64:C64"/>
    <mergeCell ref="B81:C81"/>
    <mergeCell ref="B96:C96"/>
    <mergeCell ref="F75:G75"/>
    <mergeCell ref="F92:G92"/>
    <mergeCell ref="M74:N74"/>
    <mergeCell ref="K75:L75"/>
    <mergeCell ref="B16:E16"/>
    <mergeCell ref="B17:E17"/>
    <mergeCell ref="B18:E18"/>
    <mergeCell ref="B50:E50"/>
    <mergeCell ref="B67:E67"/>
    <mergeCell ref="B84:E84"/>
    <mergeCell ref="F128:G128"/>
    <mergeCell ref="F52:G52"/>
    <mergeCell ref="B69:E69"/>
    <mergeCell ref="F69:G69"/>
    <mergeCell ref="B86:E86"/>
    <mergeCell ref="F86:G86"/>
    <mergeCell ref="B100:E100"/>
    <mergeCell ref="B99:E99"/>
    <mergeCell ref="B127:E127"/>
    <mergeCell ref="B68:E68"/>
    <mergeCell ref="B85:E85"/>
    <mergeCell ref="B97:C97"/>
    <mergeCell ref="B125:C125"/>
    <mergeCell ref="B82:C82"/>
    <mergeCell ref="F120:G120"/>
    <mergeCell ref="F106:G106"/>
    <mergeCell ref="F114:G114"/>
    <mergeCell ref="B113:E113"/>
    <mergeCell ref="B114:E114"/>
    <mergeCell ref="B126:E126"/>
    <mergeCell ref="B124:C124"/>
    <mergeCell ref="B128:E128"/>
    <mergeCell ref="B122:C122"/>
    <mergeCell ref="B112:E112"/>
    <mergeCell ref="B92:C92"/>
    <mergeCell ref="B120:C120"/>
    <mergeCell ref="B121:C121"/>
    <mergeCell ref="B123:C123"/>
    <mergeCell ref="B45:C45"/>
    <mergeCell ref="B62:C62"/>
    <mergeCell ref="B79:C79"/>
    <mergeCell ref="B94:C94"/>
    <mergeCell ref="D90:E90"/>
    <mergeCell ref="D104:E104"/>
    <mergeCell ref="D105:E105"/>
    <mergeCell ref="B106:C106"/>
    <mergeCell ref="B107:C107"/>
    <mergeCell ref="B108:C108"/>
    <mergeCell ref="B109:C109"/>
    <mergeCell ref="B110:C110"/>
    <mergeCell ref="B111:C111"/>
    <mergeCell ref="B31:C31"/>
    <mergeCell ref="B48:C48"/>
    <mergeCell ref="B65:C65"/>
    <mergeCell ref="B32:C32"/>
    <mergeCell ref="B49:C49"/>
    <mergeCell ref="B118:C119"/>
    <mergeCell ref="B90:C91"/>
    <mergeCell ref="B104:C105"/>
    <mergeCell ref="B35:E35"/>
    <mergeCell ref="B52:E52"/>
    <mergeCell ref="B98:E98"/>
    <mergeCell ref="B83:C83"/>
    <mergeCell ref="B78:C78"/>
    <mergeCell ref="B93:C93"/>
    <mergeCell ref="D91:E91"/>
    <mergeCell ref="B80:C80"/>
    <mergeCell ref="B95:C95"/>
    <mergeCell ref="B76:C76"/>
    <mergeCell ref="B33:E33"/>
    <mergeCell ref="B43:C43"/>
    <mergeCell ref="B60:C60"/>
    <mergeCell ref="B77:C77"/>
    <mergeCell ref="D119:E119"/>
    <mergeCell ref="D118:E118"/>
    <mergeCell ref="F24:G24"/>
    <mergeCell ref="B41:C41"/>
    <mergeCell ref="F41:G41"/>
    <mergeCell ref="B58:C58"/>
    <mergeCell ref="F58:G58"/>
    <mergeCell ref="B75:C75"/>
    <mergeCell ref="B25:C25"/>
    <mergeCell ref="B42:C42"/>
    <mergeCell ref="B59:C59"/>
    <mergeCell ref="D40:E40"/>
    <mergeCell ref="D57:E57"/>
    <mergeCell ref="D74:E74"/>
    <mergeCell ref="B56:C57"/>
    <mergeCell ref="D56:E56"/>
    <mergeCell ref="B73:C74"/>
    <mergeCell ref="D73:E73"/>
    <mergeCell ref="B29:C29"/>
    <mergeCell ref="B46:C46"/>
    <mergeCell ref="B63:C63"/>
    <mergeCell ref="B28:C28"/>
    <mergeCell ref="B66:C66"/>
    <mergeCell ref="B44:C44"/>
    <mergeCell ref="B61:C61"/>
    <mergeCell ref="B30:C30"/>
    <mergeCell ref="F18:G18"/>
    <mergeCell ref="B22:C23"/>
    <mergeCell ref="D22:E22"/>
    <mergeCell ref="B39:C40"/>
    <mergeCell ref="D39:E39"/>
    <mergeCell ref="M5:N5"/>
    <mergeCell ref="B6:C7"/>
    <mergeCell ref="D6:E6"/>
    <mergeCell ref="D7:E7"/>
    <mergeCell ref="K7:K8"/>
    <mergeCell ref="B8:C8"/>
    <mergeCell ref="F8:G8"/>
    <mergeCell ref="B9:C9"/>
    <mergeCell ref="B10:C10"/>
    <mergeCell ref="B11:C11"/>
    <mergeCell ref="B12:C12"/>
    <mergeCell ref="B13:C13"/>
    <mergeCell ref="B14:C14"/>
    <mergeCell ref="B15:C15"/>
    <mergeCell ref="D23:E23"/>
    <mergeCell ref="B26:C26"/>
    <mergeCell ref="B27:C27"/>
    <mergeCell ref="F35:G35"/>
    <mergeCell ref="B24:C24"/>
    <mergeCell ref="B142:E142"/>
    <mergeCell ref="F142:G142"/>
    <mergeCell ref="D132:E132"/>
    <mergeCell ref="B134:C134"/>
    <mergeCell ref="F134:G134"/>
    <mergeCell ref="B135:C135"/>
    <mergeCell ref="B136:C136"/>
    <mergeCell ref="B137:C137"/>
    <mergeCell ref="B138:C138"/>
    <mergeCell ref="B140:E140"/>
    <mergeCell ref="B141:E141"/>
    <mergeCell ref="B132:C133"/>
    <mergeCell ref="B139:C139"/>
    <mergeCell ref="D133:E133"/>
  </mergeCells>
  <phoneticPr fontId="2"/>
  <dataValidations count="5">
    <dataValidation type="list" allowBlank="1" showInputMessage="1" showErrorMessage="1" sqref="C21">
      <formula1>$L$23:$L$24</formula1>
    </dataValidation>
    <dataValidation type="list" allowBlank="1" showInputMessage="1" showErrorMessage="1" sqref="C38">
      <formula1>$L$40:$L$41</formula1>
    </dataValidation>
    <dataValidation type="list" allowBlank="1" showInputMessage="1" showErrorMessage="1" sqref="C55">
      <formula1>$L$57:$L$60</formula1>
    </dataValidation>
    <dataValidation type="list" allowBlank="1" showInputMessage="1" showErrorMessage="1" sqref="C5">
      <formula1>$L$7:$L$8</formula1>
    </dataValidation>
    <dataValidation type="list" allowBlank="1" showInputMessage="1" showErrorMessage="1" sqref="C72">
      <formula1>$L$76:$L$78</formula1>
    </dataValidation>
  </dataValidations>
  <printOptions horizontalCentered="1"/>
  <pageMargins left="0.70866141732283472" right="0.70866141732283472" top="0.74803149606299213" bottom="0.74803149606299213" header="0.31496062992125984" footer="0.31496062992125984"/>
  <pageSetup paperSize="9" scale="70" orientation="portrait" horizontalDpi="300" verticalDpi="300" r:id="rId1"/>
  <headerFooter>
    <oddHeader>&amp;Rver1.0[H28]</oddHeader>
  </headerFooter>
  <rowBreaks count="2" manualBreakCount="2">
    <brk id="53" max="7" man="1"/>
    <brk id="87" max="7" man="1"/>
  </rowBreaks>
  <legacyDrawing r:id="rId2"/>
  <extLst>
    <ext xmlns:x14="http://schemas.microsoft.com/office/spreadsheetml/2009/9/main" uri="{CCE6A557-97BC-4b89-ADB6-D9C93CAAB3DF}">
      <x14:dataValidations xmlns:xm="http://schemas.microsoft.com/office/excel/2006/main" count="21">
        <x14:dataValidation type="list" allowBlank="1" showInputMessage="1" showErrorMessage="1">
          <x14:formula1>
            <xm:f>DATAｼｰﾄ!$B$49:$B$51</xm:f>
          </x14:formula1>
          <xm:sqref>B43:C43</xm:sqref>
        </x14:dataValidation>
        <x14:dataValidation type="list" allowBlank="1" showInputMessage="1" showErrorMessage="1">
          <x14:formula1>
            <xm:f>DATAｼｰﾄ!$B$42:$B$47</xm:f>
          </x14:formula1>
          <xm:sqref>B78:C78</xm:sqref>
        </x14:dataValidation>
        <x14:dataValidation type="list" allowBlank="1" showInputMessage="1" showErrorMessage="1">
          <x14:formula1>
            <xm:f>DATAｼｰﾄ!$B$47:$B$48</xm:f>
          </x14:formula1>
          <xm:sqref>B80:C80</xm:sqref>
        </x14:dataValidation>
        <x14:dataValidation type="list" allowBlank="1" showInputMessage="1" showErrorMessage="1">
          <x14:formula1>
            <xm:f>DATAｼｰﾄ!$B$49:$B$54</xm:f>
          </x14:formula1>
          <xm:sqref>B46:C46</xm:sqref>
        </x14:dataValidation>
        <x14:dataValidation type="list" allowBlank="1" showInputMessage="1" showErrorMessage="1">
          <x14:formula1>
            <xm:f>DATAｼｰﾄ!$B$49:$B$54</xm:f>
          </x14:formula1>
          <xm:sqref>B10:C10</xm:sqref>
        </x14:dataValidation>
        <x14:dataValidation type="list" allowBlank="1" showInputMessage="1" showErrorMessage="1">
          <x14:formula1>
            <xm:f>DATAｼｰﾄ!$B$47:$B$48</xm:f>
          </x14:formula1>
          <xm:sqref>B29:C29</xm:sqref>
        </x14:dataValidation>
        <x14:dataValidation type="list" allowBlank="1" showInputMessage="1" showErrorMessage="1">
          <x14:formula1>
            <xm:f>DATAｼｰﾄ!$B$42:$B$44</xm:f>
          </x14:formula1>
          <xm:sqref>B26:C26</xm:sqref>
        </x14:dataValidation>
        <x14:dataValidation type="list" allowBlank="1" showInputMessage="1" showErrorMessage="1">
          <x14:formula1>
            <xm:f>DATAｼｰﾄ!$B$47:$B$48</xm:f>
          </x14:formula1>
          <xm:sqref>B45:C45</xm:sqref>
        </x14:dataValidation>
        <x14:dataValidation type="list" allowBlank="1" showInputMessage="1" showErrorMessage="1">
          <x14:formula1>
            <xm:f>DATAｼｰﾄ!$B$42:$B$47</xm:f>
          </x14:formula1>
          <xm:sqref>B60:C61</xm:sqref>
        </x14:dataValidation>
        <x14:dataValidation type="list" allowBlank="1" showInputMessage="1" showErrorMessage="1">
          <x14:formula1>
            <xm:f>DATAｼｰﾄ!$B$47:$B$48</xm:f>
          </x14:formula1>
          <xm:sqref>B12:C12</xm:sqref>
        </x14:dataValidation>
        <x14:dataValidation type="list" allowBlank="1" showInputMessage="1" showErrorMessage="1">
          <x14:formula1>
            <xm:f>DATAｼｰﾄ!$B$47:$B$48</xm:f>
          </x14:formula1>
          <xm:sqref>B63:C63</xm:sqref>
        </x14:dataValidation>
        <x14:dataValidation type="list" allowBlank="1" showInputMessage="1" showErrorMessage="1">
          <x14:formula1>
            <xm:f>DATAｼｰﾄ!$L$30:$L$32</xm:f>
          </x14:formula1>
          <xm:sqref>B95:C95</xm:sqref>
        </x14:dataValidation>
        <x14:dataValidation type="list" allowBlank="1" showInputMessage="1" showErrorMessage="1">
          <x14:formula1>
            <xm:f>DATAｼｰﾄ!$L$30:$L$32</xm:f>
          </x14:formula1>
          <xm:sqref>B109:C109</xm:sqref>
        </x14:dataValidation>
        <x14:dataValidation type="list" allowBlank="1" showInputMessage="1" showErrorMessage="1">
          <x14:formula1>
            <xm:f>DATAｼｰﾄ!$L$30:$L$32</xm:f>
          </x14:formula1>
          <xm:sqref>B123:C123</xm:sqref>
        </x14:dataValidation>
        <x14:dataValidation type="list" allowBlank="1" showInputMessage="1" showErrorMessage="1">
          <x14:formula1>
            <xm:f>DATAｼｰﾄ!$L$30:$L$32</xm:f>
          </x14:formula1>
          <xm:sqref>B137:C137</xm:sqref>
        </x14:dataValidation>
        <x14:dataValidation type="list" allowBlank="1" showInputMessage="1" showErrorMessage="1">
          <x14:formula1>
            <xm:f>DATAｼｰﾄ!$F$16:$F$35</xm:f>
          </x14:formula1>
          <xm:sqref>B27:C28</xm:sqref>
        </x14:dataValidation>
        <x14:dataValidation type="list" allowBlank="1" showInputMessage="1" showErrorMessage="1">
          <x14:formula1>
            <xm:f>DATAｼｰﾄ!$I$16:$I$34</xm:f>
          </x14:formula1>
          <xm:sqref>B44:C44</xm:sqref>
        </x14:dataValidation>
        <x14:dataValidation type="list" allowBlank="1" showInputMessage="1" showErrorMessage="1">
          <x14:formula1>
            <xm:f>DATAｼｰﾄ!$L$16:$L$31</xm:f>
          </x14:formula1>
          <xm:sqref>B62:C62</xm:sqref>
        </x14:dataValidation>
        <x14:dataValidation type="list" allowBlank="1" showInputMessage="1" showErrorMessage="1">
          <x14:formula1>
            <xm:f>DATAｼｰﾄ!$L$16:$L$31</xm:f>
          </x14:formula1>
          <xm:sqref>B79:C79</xm:sqref>
        </x14:dataValidation>
        <x14:dataValidation type="list" allowBlank="1" showInputMessage="1" showErrorMessage="1">
          <x14:formula1>
            <xm:f>DATAｼｰﾄ!$B$42:$B$47</xm:f>
          </x14:formula1>
          <xm:sqref>B77:C77</xm:sqref>
        </x14:dataValidation>
        <x14:dataValidation type="list" allowBlank="1" showInputMessage="1" showErrorMessage="1">
          <x14:formula1>
            <xm:f>DATAｼｰﾄ!$F$39:$F$56</xm:f>
          </x14:formula1>
          <xm:sqref>B11:C11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1:AO106"/>
  <sheetViews>
    <sheetView showGridLines="0" view="pageBreakPreview" zoomScaleNormal="100" zoomScaleSheetLayoutView="100" workbookViewId="0">
      <selection activeCell="J10" sqref="J10:K10"/>
    </sheetView>
  </sheetViews>
  <sheetFormatPr defaultRowHeight="13.5"/>
  <cols>
    <col min="1" max="1" width="0.875" style="52" customWidth="1"/>
    <col min="2" max="29" width="3.875" style="52" customWidth="1"/>
    <col min="30" max="31" width="10.625" style="52" hidden="1" customWidth="1"/>
    <col min="32" max="32" width="2.625" style="52" hidden="1" customWidth="1"/>
    <col min="33" max="35" width="10.625" style="52" hidden="1" customWidth="1"/>
    <col min="36" max="36" width="2.625" style="52" hidden="1" customWidth="1"/>
    <col min="37" max="38" width="15.625" style="52" hidden="1" customWidth="1"/>
    <col min="39" max="39" width="2.625" style="52" hidden="1" customWidth="1"/>
    <col min="40" max="41" width="10.625" style="52" hidden="1" customWidth="1"/>
    <col min="42" max="43" width="3.625" style="52" customWidth="1"/>
    <col min="44" max="49" width="4.625" style="52" customWidth="1"/>
    <col min="50" max="16384" width="9" style="52"/>
  </cols>
  <sheetData>
    <row r="1" spans="2:41" ht="3.95" customHeight="1"/>
    <row r="2" spans="2:41" s="36" customFormat="1" ht="30" customHeight="1">
      <c r="B2" s="447" t="s">
        <v>110</v>
      </c>
      <c r="C2" s="447"/>
      <c r="D2" s="447"/>
      <c r="E2" s="447"/>
      <c r="F2" s="447"/>
      <c r="G2" s="447"/>
      <c r="H2" s="447"/>
      <c r="I2" s="447"/>
      <c r="J2" s="447"/>
      <c r="K2" s="447"/>
      <c r="L2" s="447"/>
      <c r="M2" s="447"/>
      <c r="N2" s="447"/>
      <c r="O2" s="447"/>
      <c r="P2" s="447"/>
      <c r="Q2" s="447"/>
      <c r="R2" s="447"/>
      <c r="S2" s="447"/>
      <c r="T2" s="447"/>
      <c r="U2" s="447"/>
      <c r="V2" s="447"/>
      <c r="W2" s="447"/>
      <c r="X2" s="447"/>
      <c r="Y2" s="447"/>
      <c r="Z2" s="447"/>
      <c r="AA2" s="447"/>
    </row>
    <row r="3" spans="2:41" s="37" customFormat="1" ht="24.95" customHeight="1" thickBot="1"/>
    <row r="4" spans="2:41" s="37" customFormat="1" ht="21.95" customHeight="1" thickBot="1">
      <c r="B4" s="38" t="s">
        <v>5</v>
      </c>
      <c r="R4" s="448" t="s">
        <v>35</v>
      </c>
      <c r="S4" s="449"/>
      <c r="T4" s="449"/>
      <c r="U4" s="450"/>
      <c r="V4" s="451">
        <f>IF(共通条件・結果!AA7="８地域","0.515",IF(共通条件・結果!AA7="７地域",0.509,IF(共通条件・結果!AA7="６地域",0.512,IF(共通条件・結果!AA7="５地域",0.5,IF(共通条件・結果!AA7="４地域",0.518,IF(共通条件・結果!AA7="３地域",0.468,IF(共通条件・結果!AA7="２地域",0.503,IF(共通条件・結果!AA7="１地域",0.545))))))))</f>
        <v>0.51200000000000001</v>
      </c>
      <c r="W4" s="452"/>
      <c r="X4" s="451">
        <f>IF(共通条件・結果!AA7="８地域","-",IF(共通条件・結果!AA7="７地域",0.543,IF(共通条件・結果!AA7="６地域",0.579,IF(共通条件・結果!AA7="５地域",0.568,IF(共通条件・結果!AA7="４地域",0.531,IF(共通条件・結果!AA7="３地域",0.54,IF(共通条件・結果!AA7="２地域",0.554,IF(共通条件・結果!AA7="１地域",0.564))))))))</f>
        <v>0.57899999999999996</v>
      </c>
      <c r="Y4" s="452"/>
    </row>
    <row r="5" spans="2:41" s="37" customFormat="1" ht="21.95" customHeight="1">
      <c r="B5" s="453" t="s">
        <v>6</v>
      </c>
      <c r="C5" s="361"/>
      <c r="D5" s="361" t="s">
        <v>91</v>
      </c>
      <c r="E5" s="361"/>
      <c r="F5" s="361"/>
      <c r="G5" s="361"/>
      <c r="H5" s="361" t="s">
        <v>7</v>
      </c>
      <c r="I5" s="361"/>
      <c r="J5" s="360" t="s">
        <v>99</v>
      </c>
      <c r="K5" s="361"/>
      <c r="L5" s="360" t="s">
        <v>10</v>
      </c>
      <c r="M5" s="361"/>
      <c r="N5" s="456" t="s">
        <v>71</v>
      </c>
      <c r="O5" s="457"/>
      <c r="P5" s="457"/>
      <c r="Q5" s="457"/>
      <c r="R5" s="457"/>
      <c r="S5" s="457"/>
      <c r="T5" s="457"/>
      <c r="U5" s="457"/>
      <c r="V5" s="360" t="s">
        <v>66</v>
      </c>
      <c r="W5" s="361"/>
      <c r="X5" s="360" t="s">
        <v>67</v>
      </c>
      <c r="Y5" s="361"/>
      <c r="Z5" s="361" t="s">
        <v>13</v>
      </c>
      <c r="AA5" s="363"/>
    </row>
    <row r="6" spans="2:41" s="37" customFormat="1" ht="21.95" customHeight="1">
      <c r="B6" s="454"/>
      <c r="C6" s="443"/>
      <c r="D6" s="469" t="s">
        <v>9</v>
      </c>
      <c r="E6" s="470"/>
      <c r="F6" s="473" t="s">
        <v>8</v>
      </c>
      <c r="G6" s="474"/>
      <c r="H6" s="443"/>
      <c r="I6" s="443"/>
      <c r="J6" s="442"/>
      <c r="K6" s="443"/>
      <c r="L6" s="442"/>
      <c r="M6" s="443"/>
      <c r="N6" s="476" t="s">
        <v>69</v>
      </c>
      <c r="O6" s="477"/>
      <c r="P6" s="479" t="s">
        <v>70</v>
      </c>
      <c r="Q6" s="480"/>
      <c r="R6" s="480"/>
      <c r="S6" s="480"/>
      <c r="T6" s="480"/>
      <c r="U6" s="481"/>
      <c r="V6" s="442"/>
      <c r="W6" s="443"/>
      <c r="X6" s="442"/>
      <c r="Y6" s="443"/>
      <c r="Z6" s="443"/>
      <c r="AA6" s="444"/>
      <c r="AD6" s="401" t="s">
        <v>74</v>
      </c>
      <c r="AE6" s="401"/>
      <c r="AF6" s="39"/>
      <c r="AG6" s="39"/>
      <c r="AH6" s="401" t="s">
        <v>14</v>
      </c>
      <c r="AI6" s="401"/>
      <c r="AJ6" s="39"/>
      <c r="AK6" s="401" t="s">
        <v>75</v>
      </c>
      <c r="AL6" s="401"/>
      <c r="AN6" s="401" t="s">
        <v>89</v>
      </c>
      <c r="AO6" s="401"/>
    </row>
    <row r="7" spans="2:41" s="37" customFormat="1" ht="21.95" customHeight="1" thickBot="1">
      <c r="B7" s="455"/>
      <c r="C7" s="362"/>
      <c r="D7" s="471"/>
      <c r="E7" s="472"/>
      <c r="F7" s="475"/>
      <c r="G7" s="438"/>
      <c r="H7" s="362"/>
      <c r="I7" s="362"/>
      <c r="J7" s="362"/>
      <c r="K7" s="362"/>
      <c r="L7" s="362"/>
      <c r="M7" s="362"/>
      <c r="N7" s="378"/>
      <c r="O7" s="478"/>
      <c r="P7" s="438" t="s">
        <v>11</v>
      </c>
      <c r="Q7" s="439"/>
      <c r="R7" s="440" t="s">
        <v>12</v>
      </c>
      <c r="S7" s="441"/>
      <c r="T7" s="438" t="s">
        <v>3</v>
      </c>
      <c r="U7" s="439"/>
      <c r="V7" s="362"/>
      <c r="W7" s="362"/>
      <c r="X7" s="362"/>
      <c r="Y7" s="362"/>
      <c r="Z7" s="362"/>
      <c r="AA7" s="364"/>
      <c r="AD7" s="39" t="s">
        <v>4</v>
      </c>
      <c r="AE7" s="39" t="s">
        <v>18</v>
      </c>
      <c r="AF7" s="39"/>
      <c r="AG7" s="39"/>
      <c r="AH7" s="39" t="s">
        <v>4</v>
      </c>
      <c r="AI7" s="39" t="s">
        <v>18</v>
      </c>
      <c r="AJ7" s="39"/>
      <c r="AK7" s="39" t="s">
        <v>4</v>
      </c>
      <c r="AL7" s="39" t="s">
        <v>18</v>
      </c>
      <c r="AN7" s="97" t="s">
        <v>87</v>
      </c>
      <c r="AO7" s="37" t="s">
        <v>85</v>
      </c>
    </row>
    <row r="8" spans="2:41" s="37" customFormat="1" ht="21.95" customHeight="1">
      <c r="B8" s="433"/>
      <c r="C8" s="434"/>
      <c r="D8" s="435">
        <v>1.65</v>
      </c>
      <c r="E8" s="436"/>
      <c r="F8" s="436">
        <v>1.3</v>
      </c>
      <c r="G8" s="437"/>
      <c r="H8" s="392">
        <v>3.49</v>
      </c>
      <c r="I8" s="392"/>
      <c r="J8" s="392">
        <v>0.46</v>
      </c>
      <c r="K8" s="392"/>
      <c r="L8" s="410"/>
      <c r="M8" s="410"/>
      <c r="N8" s="482"/>
      <c r="O8" s="483"/>
      <c r="P8" s="461"/>
      <c r="Q8" s="484"/>
      <c r="R8" s="458"/>
      <c r="S8" s="459"/>
      <c r="T8" s="460"/>
      <c r="U8" s="461"/>
      <c r="V8" s="462">
        <f>IF(D8="","",AD8)</f>
        <v>0.46982707200000007</v>
      </c>
      <c r="W8" s="462"/>
      <c r="X8" s="462">
        <f t="shared" ref="X8:X19" si="0">IF(D8="","",IF(ISERROR(AE8),"-",AE8))</f>
        <v>0.29136264299999998</v>
      </c>
      <c r="Y8" s="462"/>
      <c r="Z8" s="462">
        <f>IF(D8="","",D8*F8*AN8)</f>
        <v>7.4860500000000005</v>
      </c>
      <c r="AA8" s="463"/>
      <c r="AD8" s="37">
        <f>D8*F8*J8*$V$4*AH8</f>
        <v>0.46982707200000007</v>
      </c>
      <c r="AE8" s="37">
        <f>D8*F8*J8*$X$4*AI8</f>
        <v>0.29136264299999998</v>
      </c>
      <c r="AG8" s="40" t="b">
        <v>1</v>
      </c>
      <c r="AH8" s="37" t="str">
        <f>IF(AG8=TRUE,"0.93",IF(ISERROR(AK8),"エラー",IF(AK8&gt;0.93,"0.93",AK8)))</f>
        <v>0.93</v>
      </c>
      <c r="AI8" s="37" t="str">
        <f>IF(AG8=TRUE,"0.51",IF(ISERROR(AL8),"エラー",IF(AL8&gt;0.72,"0.72",AL8)))</f>
        <v>0.51</v>
      </c>
      <c r="AK8" s="37" t="e">
        <f>0.01*(16+24*(2*R8+T8)/P8)</f>
        <v>#DIV/0!</v>
      </c>
      <c r="AL8" s="37" t="e">
        <f>0.01*(10+15*(2*R8+T8)/P8)</f>
        <v>#DIV/0!</v>
      </c>
      <c r="AN8" s="37">
        <f>IF(共通条件・結果!$AA$7="８地域",H8,IF(AO8="FALSE",H8,IF(L8="風除室",1/((1/H8)+0.1),0.5*H8+0.5*(1/((1/H8)+AO8)))))</f>
        <v>3.49</v>
      </c>
      <c r="AO8" s="39" t="str">
        <f t="shared" ref="AO8:AO19" si="1">IF(L8="","FALSE",IF(L8="雨戸",0.1,IF(L8="ｼｬｯﾀｰ",0.1,IF(L8="障子",0.18,IF(L8="風除室",0.1)))))</f>
        <v>FALSE</v>
      </c>
    </row>
    <row r="9" spans="2:41" s="37" customFormat="1" ht="21.95" customHeight="1">
      <c r="B9" s="419"/>
      <c r="C9" s="420"/>
      <c r="D9" s="421">
        <v>1.4</v>
      </c>
      <c r="E9" s="422"/>
      <c r="F9" s="422">
        <v>0.7</v>
      </c>
      <c r="G9" s="423"/>
      <c r="H9" s="370">
        <v>3.49</v>
      </c>
      <c r="I9" s="370"/>
      <c r="J9" s="370">
        <v>0.46</v>
      </c>
      <c r="K9" s="370"/>
      <c r="L9" s="398"/>
      <c r="M9" s="398"/>
      <c r="N9" s="428"/>
      <c r="O9" s="429"/>
      <c r="P9" s="427"/>
      <c r="Q9" s="430"/>
      <c r="R9" s="424"/>
      <c r="S9" s="425"/>
      <c r="T9" s="426"/>
      <c r="U9" s="427"/>
      <c r="V9" s="358">
        <f t="shared" ref="V9:V19" si="2">IF(D9="","",AD9)</f>
        <v>0.21465292800000002</v>
      </c>
      <c r="W9" s="358"/>
      <c r="X9" s="358">
        <f t="shared" si="0"/>
        <v>0.13311673199999999</v>
      </c>
      <c r="Y9" s="358"/>
      <c r="Z9" s="358">
        <f t="shared" ref="Z9:Z19" si="3">IF(D9="","",D9*F9*AN9)</f>
        <v>3.4201999999999999</v>
      </c>
      <c r="AA9" s="359"/>
      <c r="AD9" s="37">
        <f t="shared" ref="AD9:AD19" si="4">D9*F9*J9*$V$4*AH9</f>
        <v>0.21465292800000002</v>
      </c>
      <c r="AE9" s="37">
        <f t="shared" ref="AE9:AE19" si="5">D9*F9*J9*$X$4*AI9</f>
        <v>0.13311673199999999</v>
      </c>
      <c r="AG9" s="40" t="b">
        <v>1</v>
      </c>
      <c r="AH9" s="37" t="str">
        <f t="shared" ref="AH9:AH19" si="6">IF(AG9=TRUE,"0.93",IF(ISERROR(AK9),"エラー",IF(AK9&gt;0.93,"0.93",AK9)))</f>
        <v>0.93</v>
      </c>
      <c r="AI9" s="37" t="str">
        <f t="shared" ref="AI9:AI19" si="7">IF(AG9=TRUE,"0.51",IF(ISERROR(AL9),"エラー",IF(AL9&gt;0.72,"0.72",AL9)))</f>
        <v>0.51</v>
      </c>
      <c r="AK9" s="37" t="e">
        <f t="shared" ref="AK9:AK19" si="8">0.01*(16+24*(2*R9+T9)/P9)</f>
        <v>#DIV/0!</v>
      </c>
      <c r="AL9" s="37" t="e">
        <f t="shared" ref="AL9:AL19" si="9">0.01*(10+15*(2*R9+T9)/P9)</f>
        <v>#DIV/0!</v>
      </c>
      <c r="AN9" s="37">
        <f>IF(共通条件・結果!$AA$7="８地域",H9,IF(AO9="FALSE",H9,IF(L9="風除室",1/((1/H9)+0.1),0.5*H9+0.5*(1/((1/H9)+AO9)))))</f>
        <v>3.49</v>
      </c>
      <c r="AO9" s="39" t="str">
        <f t="shared" si="1"/>
        <v>FALSE</v>
      </c>
    </row>
    <row r="10" spans="2:41" s="37" customFormat="1" ht="21.95" customHeight="1">
      <c r="B10" s="419"/>
      <c r="C10" s="420"/>
      <c r="D10" s="421">
        <v>0.6</v>
      </c>
      <c r="E10" s="422"/>
      <c r="F10" s="422">
        <v>1.1000000000000001</v>
      </c>
      <c r="G10" s="423"/>
      <c r="H10" s="370">
        <v>3.49</v>
      </c>
      <c r="I10" s="370"/>
      <c r="J10" s="370">
        <v>0.46</v>
      </c>
      <c r="K10" s="370"/>
      <c r="L10" s="398"/>
      <c r="M10" s="398"/>
      <c r="N10" s="428"/>
      <c r="O10" s="429"/>
      <c r="P10" s="430"/>
      <c r="Q10" s="432"/>
      <c r="R10" s="431"/>
      <c r="S10" s="432"/>
      <c r="T10" s="431"/>
      <c r="U10" s="426"/>
      <c r="V10" s="358">
        <f t="shared" si="2"/>
        <v>0.14456217600000004</v>
      </c>
      <c r="W10" s="358"/>
      <c r="X10" s="358">
        <f t="shared" si="0"/>
        <v>8.9650044000000012E-2</v>
      </c>
      <c r="Y10" s="358"/>
      <c r="Z10" s="358">
        <f t="shared" si="3"/>
        <v>2.3034000000000003</v>
      </c>
      <c r="AA10" s="359"/>
      <c r="AD10" s="37">
        <f t="shared" si="4"/>
        <v>0.14456217600000004</v>
      </c>
      <c r="AE10" s="37">
        <f t="shared" si="5"/>
        <v>8.9650044000000012E-2</v>
      </c>
      <c r="AG10" s="40" t="b">
        <v>1</v>
      </c>
      <c r="AH10" s="37" t="str">
        <f t="shared" si="6"/>
        <v>0.93</v>
      </c>
      <c r="AI10" s="37" t="str">
        <f t="shared" si="7"/>
        <v>0.51</v>
      </c>
      <c r="AK10" s="37" t="e">
        <f t="shared" si="8"/>
        <v>#DIV/0!</v>
      </c>
      <c r="AL10" s="37" t="e">
        <f t="shared" si="9"/>
        <v>#DIV/0!</v>
      </c>
      <c r="AN10" s="37">
        <f>IF(共通条件・結果!$AA$7="８地域",H10,IF(AO10="FALSE",H10,IF(L10="風除室",1/((1/H10)+0.1),0.5*H10+0.5*(1/((1/H10)+AO10)))))</f>
        <v>3.49</v>
      </c>
      <c r="AO10" s="39" t="str">
        <f t="shared" si="1"/>
        <v>FALSE</v>
      </c>
    </row>
    <row r="11" spans="2:41" s="37" customFormat="1" ht="21.95" customHeight="1">
      <c r="B11" s="419"/>
      <c r="C11" s="420"/>
      <c r="D11" s="421"/>
      <c r="E11" s="422"/>
      <c r="F11" s="422"/>
      <c r="G11" s="423"/>
      <c r="H11" s="370"/>
      <c r="I11" s="370"/>
      <c r="J11" s="370"/>
      <c r="K11" s="370"/>
      <c r="L11" s="398"/>
      <c r="M11" s="398"/>
      <c r="N11" s="428"/>
      <c r="O11" s="429"/>
      <c r="P11" s="430"/>
      <c r="Q11" s="432"/>
      <c r="R11" s="431"/>
      <c r="S11" s="432"/>
      <c r="T11" s="431"/>
      <c r="U11" s="426"/>
      <c r="V11" s="358" t="str">
        <f t="shared" si="2"/>
        <v/>
      </c>
      <c r="W11" s="358"/>
      <c r="X11" s="358" t="str">
        <f t="shared" si="0"/>
        <v/>
      </c>
      <c r="Y11" s="358"/>
      <c r="Z11" s="358" t="str">
        <f t="shared" si="3"/>
        <v/>
      </c>
      <c r="AA11" s="359"/>
      <c r="AD11" s="37" t="e">
        <f t="shared" si="4"/>
        <v>#VALUE!</v>
      </c>
      <c r="AE11" s="37" t="e">
        <f t="shared" si="5"/>
        <v>#VALUE!</v>
      </c>
      <c r="AG11" s="40" t="b">
        <v>0</v>
      </c>
      <c r="AH11" s="37" t="str">
        <f t="shared" si="6"/>
        <v>エラー</v>
      </c>
      <c r="AI11" s="37" t="str">
        <f t="shared" si="7"/>
        <v>エラー</v>
      </c>
      <c r="AK11" s="37" t="e">
        <f t="shared" si="8"/>
        <v>#DIV/0!</v>
      </c>
      <c r="AL11" s="37" t="e">
        <f t="shared" si="9"/>
        <v>#DIV/0!</v>
      </c>
      <c r="AN11" s="37">
        <f>IF(共通条件・結果!$AA$7="８地域",H11,IF(AO11="FALSE",H11,IF(L11="風除室",1/((1/H11)+0.1),0.5*H11+0.5*(1/((1/H11)+AO11)))))</f>
        <v>0</v>
      </c>
      <c r="AO11" s="39" t="str">
        <f t="shared" si="1"/>
        <v>FALSE</v>
      </c>
    </row>
    <row r="12" spans="2:41" s="37" customFormat="1" ht="21.95" customHeight="1">
      <c r="B12" s="419"/>
      <c r="C12" s="445"/>
      <c r="D12" s="488"/>
      <c r="E12" s="492"/>
      <c r="F12" s="493"/>
      <c r="G12" s="489"/>
      <c r="H12" s="488"/>
      <c r="I12" s="489"/>
      <c r="J12" s="488"/>
      <c r="K12" s="489"/>
      <c r="L12" s="495"/>
      <c r="M12" s="496"/>
      <c r="N12" s="428"/>
      <c r="O12" s="497"/>
      <c r="P12" s="430"/>
      <c r="Q12" s="432"/>
      <c r="R12" s="431"/>
      <c r="S12" s="432"/>
      <c r="T12" s="431"/>
      <c r="U12" s="426"/>
      <c r="V12" s="356" t="str">
        <f t="shared" ref="V12:V13" si="10">IF(D12="","",AD12)</f>
        <v/>
      </c>
      <c r="W12" s="357"/>
      <c r="X12" s="356" t="str">
        <f t="shared" ref="X12:X13" si="11">IF(D12="","",IF(ISERROR(AE12),"-",AE12))</f>
        <v/>
      </c>
      <c r="Y12" s="357"/>
      <c r="Z12" s="356" t="str">
        <f t="shared" ref="Z12:Z13" si="12">IF(D12="","",D12*F12*AN12)</f>
        <v/>
      </c>
      <c r="AA12" s="375"/>
      <c r="AD12" s="37" t="e">
        <f t="shared" ref="AD12:AD13" si="13">D12*F12*J12*$V$4*AH12</f>
        <v>#VALUE!</v>
      </c>
      <c r="AE12" s="37" t="e">
        <f t="shared" ref="AE12:AE13" si="14">D12*F12*J12*$X$4*AI12</f>
        <v>#VALUE!</v>
      </c>
      <c r="AG12" s="40" t="b">
        <v>0</v>
      </c>
      <c r="AH12" s="37" t="str">
        <f t="shared" ref="AH12:AH13" si="15">IF(AG12=TRUE,"0.93",IF(ISERROR(AK12),"エラー",IF(AK12&gt;0.93,"0.93",AK12)))</f>
        <v>エラー</v>
      </c>
      <c r="AI12" s="37" t="str">
        <f t="shared" ref="AI12:AI13" si="16">IF(AG12=TRUE,"0.51",IF(ISERROR(AL12),"エラー",IF(AL12&gt;0.72,"0.72",AL12)))</f>
        <v>エラー</v>
      </c>
      <c r="AK12" s="37" t="e">
        <f t="shared" ref="AK12:AK13" si="17">0.01*(16+24*(2*R12+T12)/P12)</f>
        <v>#DIV/0!</v>
      </c>
      <c r="AL12" s="37" t="e">
        <f t="shared" ref="AL12:AL13" si="18">0.01*(10+15*(2*R12+T12)/P12)</f>
        <v>#DIV/0!</v>
      </c>
      <c r="AN12" s="37">
        <f>IF(共通条件・結果!$AA$7="８地域",H12,IF(AO12="FALSE",H12,IF(L12="風除室",1/((1/H12)+0.1),0.5*H12+0.5*(1/((1/H12)+AO12)))))</f>
        <v>0</v>
      </c>
      <c r="AO12" s="95" t="str">
        <f t="shared" ref="AO12:AO13" si="19">IF(L12="","FALSE",IF(L12="雨戸",0.1,IF(L12="ｼｬｯﾀｰ",0.1,IF(L12="障子",0.18,IF(L12="風除室",0.1)))))</f>
        <v>FALSE</v>
      </c>
    </row>
    <row r="13" spans="2:41" s="37" customFormat="1" ht="21.95" customHeight="1">
      <c r="B13" s="419"/>
      <c r="C13" s="445"/>
      <c r="D13" s="488"/>
      <c r="E13" s="492"/>
      <c r="F13" s="493"/>
      <c r="G13" s="489"/>
      <c r="H13" s="488"/>
      <c r="I13" s="489"/>
      <c r="J13" s="488"/>
      <c r="K13" s="489"/>
      <c r="L13" s="495"/>
      <c r="M13" s="496"/>
      <c r="N13" s="428"/>
      <c r="O13" s="497"/>
      <c r="P13" s="430"/>
      <c r="Q13" s="432"/>
      <c r="R13" s="431"/>
      <c r="S13" s="432"/>
      <c r="T13" s="431"/>
      <c r="U13" s="426"/>
      <c r="V13" s="356" t="str">
        <f t="shared" si="10"/>
        <v/>
      </c>
      <c r="W13" s="357"/>
      <c r="X13" s="356" t="str">
        <f t="shared" si="11"/>
        <v/>
      </c>
      <c r="Y13" s="357"/>
      <c r="Z13" s="356" t="str">
        <f t="shared" si="12"/>
        <v/>
      </c>
      <c r="AA13" s="375"/>
      <c r="AD13" s="37" t="e">
        <f t="shared" si="13"/>
        <v>#VALUE!</v>
      </c>
      <c r="AE13" s="37" t="e">
        <f t="shared" si="14"/>
        <v>#VALUE!</v>
      </c>
      <c r="AG13" s="40" t="b">
        <v>0</v>
      </c>
      <c r="AH13" s="37" t="str">
        <f t="shared" si="15"/>
        <v>エラー</v>
      </c>
      <c r="AI13" s="37" t="str">
        <f t="shared" si="16"/>
        <v>エラー</v>
      </c>
      <c r="AK13" s="37" t="e">
        <f t="shared" si="17"/>
        <v>#DIV/0!</v>
      </c>
      <c r="AL13" s="37" t="e">
        <f t="shared" si="18"/>
        <v>#DIV/0!</v>
      </c>
      <c r="AN13" s="37">
        <f>IF(共通条件・結果!$AA$7="８地域",H13,IF(AO13="FALSE",H13,IF(L13="風除室",1/((1/H13)+0.1),0.5*H13+0.5*(1/((1/H13)+AO13)))))</f>
        <v>0</v>
      </c>
      <c r="AO13" s="95" t="str">
        <f t="shared" si="19"/>
        <v>FALSE</v>
      </c>
    </row>
    <row r="14" spans="2:41" s="37" customFormat="1" ht="21.95" customHeight="1">
      <c r="B14" s="419"/>
      <c r="C14" s="420"/>
      <c r="D14" s="421"/>
      <c r="E14" s="422"/>
      <c r="F14" s="422"/>
      <c r="G14" s="423"/>
      <c r="H14" s="370"/>
      <c r="I14" s="370"/>
      <c r="J14" s="370"/>
      <c r="K14" s="370"/>
      <c r="L14" s="398"/>
      <c r="M14" s="398"/>
      <c r="N14" s="428"/>
      <c r="O14" s="429"/>
      <c r="P14" s="430"/>
      <c r="Q14" s="432"/>
      <c r="R14" s="431"/>
      <c r="S14" s="432"/>
      <c r="T14" s="431"/>
      <c r="U14" s="426"/>
      <c r="V14" s="358" t="str">
        <f t="shared" si="2"/>
        <v/>
      </c>
      <c r="W14" s="358"/>
      <c r="X14" s="358" t="str">
        <f t="shared" si="0"/>
        <v/>
      </c>
      <c r="Y14" s="358"/>
      <c r="Z14" s="358" t="str">
        <f t="shared" si="3"/>
        <v/>
      </c>
      <c r="AA14" s="359"/>
      <c r="AD14" s="37" t="e">
        <f t="shared" si="4"/>
        <v>#VALUE!</v>
      </c>
      <c r="AE14" s="37" t="e">
        <f t="shared" si="5"/>
        <v>#VALUE!</v>
      </c>
      <c r="AG14" s="40" t="b">
        <v>0</v>
      </c>
      <c r="AH14" s="37" t="str">
        <f t="shared" si="6"/>
        <v>エラー</v>
      </c>
      <c r="AI14" s="37" t="str">
        <f t="shared" si="7"/>
        <v>エラー</v>
      </c>
      <c r="AK14" s="37" t="e">
        <f t="shared" si="8"/>
        <v>#DIV/0!</v>
      </c>
      <c r="AL14" s="37" t="e">
        <f t="shared" si="9"/>
        <v>#DIV/0!</v>
      </c>
      <c r="AN14" s="37">
        <f>IF(共通条件・結果!$AA$7="８地域",H14,IF(AO14="FALSE",H14,IF(L14="風除室",1/((1/H14)+0.1),0.5*H14+0.5*(1/((1/H14)+AO14)))))</f>
        <v>0</v>
      </c>
      <c r="AO14" s="39" t="str">
        <f t="shared" si="1"/>
        <v>FALSE</v>
      </c>
    </row>
    <row r="15" spans="2:41" s="37" customFormat="1" ht="21.95" customHeight="1">
      <c r="B15" s="419"/>
      <c r="C15" s="420"/>
      <c r="D15" s="421"/>
      <c r="E15" s="422"/>
      <c r="F15" s="422"/>
      <c r="G15" s="423"/>
      <c r="H15" s="370"/>
      <c r="I15" s="370"/>
      <c r="J15" s="370"/>
      <c r="K15" s="370"/>
      <c r="L15" s="398" t="s">
        <v>65</v>
      </c>
      <c r="M15" s="398"/>
      <c r="N15" s="428"/>
      <c r="O15" s="429"/>
      <c r="P15" s="430"/>
      <c r="Q15" s="432"/>
      <c r="R15" s="431"/>
      <c r="S15" s="432"/>
      <c r="T15" s="431"/>
      <c r="U15" s="426"/>
      <c r="V15" s="356" t="str">
        <f t="shared" si="2"/>
        <v/>
      </c>
      <c r="W15" s="357"/>
      <c r="X15" s="358" t="str">
        <f t="shared" si="0"/>
        <v/>
      </c>
      <c r="Y15" s="358"/>
      <c r="Z15" s="358" t="str">
        <f t="shared" si="3"/>
        <v/>
      </c>
      <c r="AA15" s="359"/>
      <c r="AD15" s="37" t="e">
        <f t="shared" si="4"/>
        <v>#VALUE!</v>
      </c>
      <c r="AE15" s="37" t="e">
        <f t="shared" si="5"/>
        <v>#VALUE!</v>
      </c>
      <c r="AG15" s="40" t="b">
        <v>0</v>
      </c>
      <c r="AH15" s="37" t="str">
        <f t="shared" si="6"/>
        <v>エラー</v>
      </c>
      <c r="AI15" s="37" t="str">
        <f t="shared" si="7"/>
        <v>エラー</v>
      </c>
      <c r="AK15" s="37" t="e">
        <f t="shared" si="8"/>
        <v>#DIV/0!</v>
      </c>
      <c r="AL15" s="37" t="e">
        <f t="shared" si="9"/>
        <v>#DIV/0!</v>
      </c>
      <c r="AN15" s="37" t="e">
        <f>IF(共通条件・結果!$AA$7="８地域",H15,IF(AO15="FALSE",H15,IF(L15="風除室",1/((1/H15)+0.1),0.5*H15+0.5*(1/((1/H15)+AO15)))))</f>
        <v>#DIV/0!</v>
      </c>
      <c r="AO15" s="39" t="b">
        <f t="shared" si="1"/>
        <v>0</v>
      </c>
    </row>
    <row r="16" spans="2:41" s="37" customFormat="1" ht="21.95" customHeight="1">
      <c r="B16" s="419"/>
      <c r="C16" s="420"/>
      <c r="D16" s="421"/>
      <c r="E16" s="422"/>
      <c r="F16" s="422"/>
      <c r="G16" s="423"/>
      <c r="H16" s="370"/>
      <c r="I16" s="370"/>
      <c r="J16" s="370"/>
      <c r="K16" s="370"/>
      <c r="L16" s="398" t="s">
        <v>65</v>
      </c>
      <c r="M16" s="398"/>
      <c r="N16" s="428"/>
      <c r="O16" s="429"/>
      <c r="P16" s="430"/>
      <c r="Q16" s="432"/>
      <c r="R16" s="431"/>
      <c r="S16" s="432"/>
      <c r="T16" s="431"/>
      <c r="U16" s="426"/>
      <c r="V16" s="356" t="str">
        <f t="shared" si="2"/>
        <v/>
      </c>
      <c r="W16" s="357"/>
      <c r="X16" s="358" t="str">
        <f t="shared" si="0"/>
        <v/>
      </c>
      <c r="Y16" s="358"/>
      <c r="Z16" s="358" t="str">
        <f t="shared" si="3"/>
        <v/>
      </c>
      <c r="AA16" s="359"/>
      <c r="AD16" s="37" t="e">
        <f t="shared" si="4"/>
        <v>#VALUE!</v>
      </c>
      <c r="AE16" s="37" t="e">
        <f t="shared" si="5"/>
        <v>#VALUE!</v>
      </c>
      <c r="AG16" s="40" t="b">
        <v>0</v>
      </c>
      <c r="AH16" s="37" t="str">
        <f t="shared" si="6"/>
        <v>エラー</v>
      </c>
      <c r="AI16" s="37" t="str">
        <f t="shared" si="7"/>
        <v>エラー</v>
      </c>
      <c r="AK16" s="37" t="e">
        <f t="shared" si="8"/>
        <v>#DIV/0!</v>
      </c>
      <c r="AL16" s="37" t="e">
        <f t="shared" si="9"/>
        <v>#DIV/0!</v>
      </c>
      <c r="AN16" s="37" t="e">
        <f>IF(共通条件・結果!$AA$7="８地域",H16,IF(AO16="FALSE",H16,IF(L16="風除室",1/((1/H16)+0.1),0.5*H16+0.5*(1/((1/H16)+AO16)))))</f>
        <v>#DIV/0!</v>
      </c>
      <c r="AO16" s="39" t="b">
        <f t="shared" si="1"/>
        <v>0</v>
      </c>
    </row>
    <row r="17" spans="2:41" s="37" customFormat="1" ht="21.95" customHeight="1">
      <c r="B17" s="419"/>
      <c r="C17" s="420"/>
      <c r="D17" s="421"/>
      <c r="E17" s="422"/>
      <c r="F17" s="422"/>
      <c r="G17" s="423"/>
      <c r="H17" s="370"/>
      <c r="I17" s="370"/>
      <c r="J17" s="370"/>
      <c r="K17" s="370"/>
      <c r="L17" s="398" t="s">
        <v>65</v>
      </c>
      <c r="M17" s="398"/>
      <c r="N17" s="428"/>
      <c r="O17" s="429"/>
      <c r="P17" s="427"/>
      <c r="Q17" s="430"/>
      <c r="R17" s="431"/>
      <c r="S17" s="432"/>
      <c r="T17" s="431"/>
      <c r="U17" s="426"/>
      <c r="V17" s="356" t="str">
        <f t="shared" si="2"/>
        <v/>
      </c>
      <c r="W17" s="357"/>
      <c r="X17" s="358" t="str">
        <f t="shared" si="0"/>
        <v/>
      </c>
      <c r="Y17" s="358"/>
      <c r="Z17" s="358" t="str">
        <f t="shared" si="3"/>
        <v/>
      </c>
      <c r="AA17" s="359"/>
      <c r="AD17" s="37" t="e">
        <f t="shared" si="4"/>
        <v>#VALUE!</v>
      </c>
      <c r="AE17" s="37" t="e">
        <f t="shared" si="5"/>
        <v>#VALUE!</v>
      </c>
      <c r="AG17" s="40" t="b">
        <v>0</v>
      </c>
      <c r="AH17" s="37" t="str">
        <f t="shared" si="6"/>
        <v>エラー</v>
      </c>
      <c r="AI17" s="37" t="str">
        <f t="shared" si="7"/>
        <v>エラー</v>
      </c>
      <c r="AK17" s="37" t="e">
        <f t="shared" si="8"/>
        <v>#DIV/0!</v>
      </c>
      <c r="AL17" s="37" t="e">
        <f t="shared" si="9"/>
        <v>#DIV/0!</v>
      </c>
      <c r="AN17" s="37" t="e">
        <f>IF(共通条件・結果!$AA$7="８地域",H17,IF(AO17="FALSE",H17,IF(L17="風除室",1/((1/H17)+0.1),0.5*H17+0.5*(1/((1/H17)+AO17)))))</f>
        <v>#DIV/0!</v>
      </c>
      <c r="AO17" s="39" t="b">
        <f t="shared" si="1"/>
        <v>0</v>
      </c>
    </row>
    <row r="18" spans="2:41" s="37" customFormat="1" ht="21.95" customHeight="1">
      <c r="B18" s="419"/>
      <c r="C18" s="420"/>
      <c r="D18" s="421"/>
      <c r="E18" s="422"/>
      <c r="F18" s="422"/>
      <c r="G18" s="423"/>
      <c r="H18" s="370"/>
      <c r="I18" s="370"/>
      <c r="J18" s="370"/>
      <c r="K18" s="370"/>
      <c r="L18" s="398" t="s">
        <v>65</v>
      </c>
      <c r="M18" s="398"/>
      <c r="N18" s="428"/>
      <c r="O18" s="429"/>
      <c r="P18" s="427"/>
      <c r="Q18" s="430"/>
      <c r="R18" s="424"/>
      <c r="S18" s="425"/>
      <c r="T18" s="426"/>
      <c r="U18" s="427"/>
      <c r="V18" s="356" t="str">
        <f t="shared" si="2"/>
        <v/>
      </c>
      <c r="W18" s="357"/>
      <c r="X18" s="358" t="str">
        <f t="shared" si="0"/>
        <v/>
      </c>
      <c r="Y18" s="358"/>
      <c r="Z18" s="358" t="str">
        <f t="shared" si="3"/>
        <v/>
      </c>
      <c r="AA18" s="359"/>
      <c r="AD18" s="37" t="e">
        <f t="shared" si="4"/>
        <v>#VALUE!</v>
      </c>
      <c r="AE18" s="37" t="e">
        <f t="shared" si="5"/>
        <v>#VALUE!</v>
      </c>
      <c r="AG18" s="40" t="b">
        <v>0</v>
      </c>
      <c r="AH18" s="37" t="str">
        <f t="shared" si="6"/>
        <v>エラー</v>
      </c>
      <c r="AI18" s="37" t="str">
        <f t="shared" si="7"/>
        <v>エラー</v>
      </c>
      <c r="AK18" s="37" t="e">
        <f t="shared" si="8"/>
        <v>#DIV/0!</v>
      </c>
      <c r="AL18" s="37" t="e">
        <f t="shared" si="9"/>
        <v>#DIV/0!</v>
      </c>
      <c r="AN18" s="37" t="e">
        <f>IF(共通条件・結果!$AA$7="８地域",H18,IF(AO18="FALSE",H18,IF(L18="風除室",1/((1/H18)+0.1),0.5*H18+0.5*(1/((1/H18)+AO18)))))</f>
        <v>#DIV/0!</v>
      </c>
      <c r="AO18" s="39" t="b">
        <f t="shared" si="1"/>
        <v>0</v>
      </c>
    </row>
    <row r="19" spans="2:41" s="37" customFormat="1" ht="21.95" customHeight="1" thickBot="1">
      <c r="B19" s="350"/>
      <c r="C19" s="417"/>
      <c r="D19" s="394"/>
      <c r="E19" s="395"/>
      <c r="F19" s="395"/>
      <c r="G19" s="396"/>
      <c r="H19" s="397"/>
      <c r="I19" s="397"/>
      <c r="J19" s="397"/>
      <c r="K19" s="397"/>
      <c r="L19" s="410" t="s">
        <v>65</v>
      </c>
      <c r="M19" s="410"/>
      <c r="N19" s="411"/>
      <c r="O19" s="412"/>
      <c r="P19" s="413"/>
      <c r="Q19" s="414"/>
      <c r="R19" s="415"/>
      <c r="S19" s="416"/>
      <c r="T19" s="418"/>
      <c r="U19" s="413"/>
      <c r="V19" s="356" t="str">
        <f t="shared" si="2"/>
        <v/>
      </c>
      <c r="W19" s="357"/>
      <c r="X19" s="358" t="str">
        <f t="shared" si="0"/>
        <v/>
      </c>
      <c r="Y19" s="358"/>
      <c r="Z19" s="367" t="str">
        <f t="shared" si="3"/>
        <v/>
      </c>
      <c r="AA19" s="374"/>
      <c r="AD19" s="37" t="e">
        <f t="shared" si="4"/>
        <v>#VALUE!</v>
      </c>
      <c r="AE19" s="37" t="e">
        <f t="shared" si="5"/>
        <v>#VALUE!</v>
      </c>
      <c r="AG19" s="40" t="b">
        <v>0</v>
      </c>
      <c r="AH19" s="37" t="str">
        <f t="shared" si="6"/>
        <v>エラー</v>
      </c>
      <c r="AI19" s="37" t="str">
        <f t="shared" si="7"/>
        <v>エラー</v>
      </c>
      <c r="AK19" s="37" t="e">
        <f t="shared" si="8"/>
        <v>#DIV/0!</v>
      </c>
      <c r="AL19" s="37" t="e">
        <f t="shared" si="9"/>
        <v>#DIV/0!</v>
      </c>
      <c r="AN19" s="37" t="e">
        <f>IF(共通条件・結果!$AA$7="８地域",H19,IF(AO19="FALSE",H19,IF(L19="風除室",1/((1/H19)+0.1),0.5*H19+0.5*(1/((1/H19)+AO19)))))</f>
        <v>#DIV/0!</v>
      </c>
      <c r="AO19" s="39" t="b">
        <f t="shared" si="1"/>
        <v>0</v>
      </c>
    </row>
    <row r="20" spans="2:41" s="37" customFormat="1" ht="21.95" customHeight="1" thickBot="1">
      <c r="B20" s="408" t="s">
        <v>120</v>
      </c>
      <c r="C20" s="409"/>
      <c r="D20" s="409"/>
      <c r="E20" s="409"/>
      <c r="F20" s="409"/>
      <c r="G20" s="409"/>
      <c r="H20" s="409"/>
      <c r="I20" s="409"/>
      <c r="J20" s="409"/>
      <c r="K20" s="409"/>
      <c r="L20" s="409"/>
      <c r="M20" s="409"/>
      <c r="N20" s="409"/>
      <c r="O20" s="409"/>
      <c r="P20" s="409"/>
      <c r="Q20" s="409"/>
      <c r="R20" s="409"/>
      <c r="S20" s="409"/>
      <c r="T20" s="409"/>
      <c r="U20" s="409"/>
      <c r="V20" s="344">
        <f>SUM(V8:W19)</f>
        <v>0.82904217600000019</v>
      </c>
      <c r="W20" s="344"/>
      <c r="X20" s="344">
        <f>SUM(X8:Y19)</f>
        <v>0.51412941899999998</v>
      </c>
      <c r="Y20" s="344"/>
      <c r="Z20" s="344">
        <f>SUM(Z8:AA19)</f>
        <v>13.20965</v>
      </c>
      <c r="AA20" s="345"/>
    </row>
    <row r="21" spans="2:41" s="37" customFormat="1" ht="9.9499999999999993" customHeight="1">
      <c r="AN21" s="401"/>
      <c r="AO21" s="401"/>
    </row>
    <row r="22" spans="2:41" s="37" customFormat="1" ht="21.95" customHeight="1" thickBot="1">
      <c r="J22" s="38" t="s">
        <v>15</v>
      </c>
      <c r="K22" s="38"/>
      <c r="L22" s="38"/>
    </row>
    <row r="23" spans="2:41" s="37" customFormat="1" ht="21.95" customHeight="1">
      <c r="J23" s="465" t="s">
        <v>16</v>
      </c>
      <c r="K23" s="486"/>
      <c r="L23" s="486"/>
      <c r="M23" s="466"/>
      <c r="N23" s="361" t="s">
        <v>91</v>
      </c>
      <c r="O23" s="361"/>
      <c r="P23" s="361"/>
      <c r="Q23" s="361"/>
      <c r="R23" s="361" t="s">
        <v>7</v>
      </c>
      <c r="S23" s="361"/>
      <c r="T23" s="402" t="s">
        <v>10</v>
      </c>
      <c r="U23" s="403"/>
      <c r="V23" s="360" t="s">
        <v>68</v>
      </c>
      <c r="W23" s="361"/>
      <c r="X23" s="360" t="s">
        <v>67</v>
      </c>
      <c r="Y23" s="361"/>
      <c r="Z23" s="361" t="s">
        <v>13</v>
      </c>
      <c r="AA23" s="363"/>
      <c r="AN23" s="401" t="s">
        <v>89</v>
      </c>
      <c r="AO23" s="401"/>
    </row>
    <row r="24" spans="2:41" s="37" customFormat="1" ht="21.95" customHeight="1" thickBot="1">
      <c r="J24" s="467"/>
      <c r="K24" s="475"/>
      <c r="L24" s="475"/>
      <c r="M24" s="438"/>
      <c r="N24" s="405" t="s">
        <v>9</v>
      </c>
      <c r="O24" s="406"/>
      <c r="P24" s="407" t="s">
        <v>8</v>
      </c>
      <c r="Q24" s="362"/>
      <c r="R24" s="362"/>
      <c r="S24" s="362"/>
      <c r="T24" s="404"/>
      <c r="U24" s="404"/>
      <c r="V24" s="362"/>
      <c r="W24" s="362"/>
      <c r="X24" s="362"/>
      <c r="Y24" s="362"/>
      <c r="Z24" s="362"/>
      <c r="AA24" s="364"/>
      <c r="AN24" s="97" t="s">
        <v>87</v>
      </c>
      <c r="AO24" s="37" t="s">
        <v>85</v>
      </c>
    </row>
    <row r="25" spans="2:41" s="37" customFormat="1" ht="21.95" customHeight="1">
      <c r="C25" s="41"/>
      <c r="D25" s="41"/>
      <c r="E25" s="41"/>
      <c r="F25" s="41"/>
      <c r="G25" s="41"/>
      <c r="H25" s="41"/>
      <c r="I25" s="41"/>
      <c r="J25" s="433"/>
      <c r="K25" s="487"/>
      <c r="L25" s="487"/>
      <c r="M25" s="446"/>
      <c r="N25" s="435"/>
      <c r="O25" s="436"/>
      <c r="P25" s="436"/>
      <c r="Q25" s="437"/>
      <c r="R25" s="392"/>
      <c r="S25" s="392"/>
      <c r="T25" s="485"/>
      <c r="U25" s="485"/>
      <c r="V25" s="368" t="str">
        <f>IF(N25="","",N25*P25*R25*0.034*$V$4)</f>
        <v/>
      </c>
      <c r="W25" s="368"/>
      <c r="X25" s="368" t="str">
        <f>IF(N25="","",IF(ISERROR(N25*P25*R25*0.034*$X$4),"-",N25*P25*R25*0.034*$X$4))</f>
        <v/>
      </c>
      <c r="Y25" s="368"/>
      <c r="Z25" s="368" t="str">
        <f>IF(N25="","",N25*P25*AN25)</f>
        <v/>
      </c>
      <c r="AA25" s="369"/>
      <c r="AN25" s="37">
        <f>IF(共通条件・結果!$AA$7="８地域",R25,IF(AO25="FALSE",R25,IF(T25="風除室",1/((1/R25)+0.1),0.5*R25+0.5*(1/((1/R25)+AO25)))))</f>
        <v>0</v>
      </c>
      <c r="AO25" s="39" t="str">
        <f>IF(T25="","FALSE",IF(T25="雨戸",0.1,IF(T25="ｼｬｯﾀｰ",0.1,IF(T25="障子",0.18,IF(T25="風除室",0.1)))))</f>
        <v>FALSE</v>
      </c>
    </row>
    <row r="26" spans="2:41" s="37" customFormat="1" ht="21.95" customHeight="1">
      <c r="C26" s="41"/>
      <c r="D26" s="41"/>
      <c r="E26" s="41"/>
      <c r="F26" s="41"/>
      <c r="G26" s="41"/>
      <c r="H26" s="41"/>
      <c r="I26" s="41"/>
      <c r="J26" s="419"/>
      <c r="K26" s="494"/>
      <c r="L26" s="494"/>
      <c r="M26" s="445"/>
      <c r="N26" s="488"/>
      <c r="O26" s="492"/>
      <c r="P26" s="493"/>
      <c r="Q26" s="489"/>
      <c r="R26" s="488"/>
      <c r="S26" s="489"/>
      <c r="T26" s="495"/>
      <c r="U26" s="496"/>
      <c r="V26" s="356" t="str">
        <f>IF(N26="","",N26*P26*R26*0.034*$V$4)</f>
        <v/>
      </c>
      <c r="W26" s="357"/>
      <c r="X26" s="356" t="str">
        <f>IF(N26="","",IF(ISERROR(N26*P26*R26*0.034*$X$4),"-",N26*P26*R26*0.034*$X$4))</f>
        <v/>
      </c>
      <c r="Y26" s="357"/>
      <c r="Z26" s="356" t="str">
        <f>IF(N26="","",N26*P26*AN26)</f>
        <v/>
      </c>
      <c r="AA26" s="375"/>
      <c r="AN26" s="37">
        <f>IF(共通条件・結果!$AA$7="８地域",R26,IF(AO26="FALSE",R26,IF(T26="風除室",1/((1/R26)+0.1),0.5*R26+0.5*(1/((1/R26)+AO26)))))</f>
        <v>0</v>
      </c>
      <c r="AO26" s="95" t="str">
        <f>IF(T26="","FALSE",IF(T26="雨戸",0.1,IF(T26="ｼｬｯﾀｰ",0.1,IF(T26="障子",0.18,IF(T26="風除室",0.1)))))</f>
        <v>FALSE</v>
      </c>
    </row>
    <row r="27" spans="2:41" s="37" customFormat="1" ht="21.95" customHeight="1" thickBot="1">
      <c r="C27" s="41"/>
      <c r="D27" s="41"/>
      <c r="E27" s="41"/>
      <c r="F27" s="41"/>
      <c r="G27" s="41"/>
      <c r="H27" s="41"/>
      <c r="I27" s="41"/>
      <c r="J27" s="350"/>
      <c r="K27" s="464"/>
      <c r="L27" s="464"/>
      <c r="M27" s="351"/>
      <c r="N27" s="394"/>
      <c r="O27" s="395"/>
      <c r="P27" s="395"/>
      <c r="Q27" s="396"/>
      <c r="R27" s="397"/>
      <c r="S27" s="397"/>
      <c r="T27" s="398" t="s">
        <v>65</v>
      </c>
      <c r="U27" s="398"/>
      <c r="V27" s="399" t="str">
        <f>IF(N27="","",N27*P27*R27*0.034*$V$4)</f>
        <v/>
      </c>
      <c r="W27" s="399"/>
      <c r="X27" s="399" t="str">
        <f>IF(N27="","",IF(ISERROR(N27*P27*R27*0.034*$X$4),"-",N27*P27*R27*0.034*$X$4))</f>
        <v/>
      </c>
      <c r="Y27" s="399"/>
      <c r="Z27" s="399" t="str">
        <f>IF(N27="","",N27*P27*AN27)</f>
        <v/>
      </c>
      <c r="AA27" s="400"/>
      <c r="AN27" s="37" t="e">
        <f>IF(共通条件・結果!$AA$7="８地域",R27,IF(AO27="FALSE",R27,IF(T27="風除室",1/((1/R27)+0.1),0.5*R27+0.5*(1/((1/R27)+AO27)))))</f>
        <v>#DIV/0!</v>
      </c>
      <c r="AO27" s="39" t="b">
        <f>IF(T27="","FALSE",IF(T27="雨戸",0.1,IF(T27="ｼｬｯﾀｰ",0.1,IF(T27="障子",0.18,IF(T27="風除室",0.1)))))</f>
        <v>0</v>
      </c>
    </row>
    <row r="28" spans="2:41" s="37" customFormat="1" ht="21.95" customHeight="1" thickBot="1">
      <c r="C28" s="41"/>
      <c r="D28" s="41"/>
      <c r="E28" s="41"/>
      <c r="F28" s="41"/>
      <c r="G28" s="41"/>
      <c r="H28" s="41"/>
      <c r="I28" s="41"/>
      <c r="J28" s="408" t="s">
        <v>144</v>
      </c>
      <c r="K28" s="409"/>
      <c r="L28" s="409"/>
      <c r="M28" s="409"/>
      <c r="N28" s="409"/>
      <c r="O28" s="409"/>
      <c r="P28" s="409"/>
      <c r="Q28" s="409"/>
      <c r="R28" s="409"/>
      <c r="S28" s="409"/>
      <c r="T28" s="409"/>
      <c r="U28" s="468"/>
      <c r="V28" s="344">
        <f>SUM(V25:W27)</f>
        <v>0</v>
      </c>
      <c r="W28" s="344"/>
      <c r="X28" s="344">
        <f>SUM(X25:Y27)</f>
        <v>0</v>
      </c>
      <c r="Y28" s="344"/>
      <c r="Z28" s="344">
        <f>SUM(Z25:AA27)</f>
        <v>0</v>
      </c>
      <c r="AA28" s="345"/>
      <c r="AO28" s="39"/>
    </row>
    <row r="29" spans="2:41" s="37" customFormat="1" ht="9.9499999999999993" customHeight="1">
      <c r="C29" s="41"/>
      <c r="D29" s="41"/>
      <c r="E29" s="41"/>
      <c r="F29" s="41"/>
      <c r="G29" s="41"/>
      <c r="H29" s="41"/>
      <c r="I29" s="41"/>
      <c r="J29" s="41"/>
      <c r="AO29" s="39"/>
    </row>
    <row r="30" spans="2:41" s="37" customFormat="1" ht="21.95" customHeight="1" thickBot="1">
      <c r="C30" s="41"/>
      <c r="D30" s="41"/>
      <c r="E30" s="41"/>
      <c r="F30" s="41"/>
      <c r="G30" s="41"/>
      <c r="H30" s="41"/>
      <c r="I30" s="41"/>
      <c r="J30" s="38" t="s">
        <v>17</v>
      </c>
      <c r="K30" s="38"/>
      <c r="L30" s="38"/>
      <c r="AO30" s="39"/>
    </row>
    <row r="31" spans="2:41" s="37" customFormat="1" ht="21.95" customHeight="1">
      <c r="C31" s="41"/>
      <c r="D31" s="41"/>
      <c r="E31" s="41"/>
      <c r="F31" s="41"/>
      <c r="G31" s="41"/>
      <c r="H31" s="41"/>
      <c r="I31" s="41"/>
      <c r="J31" s="465" t="s">
        <v>0</v>
      </c>
      <c r="K31" s="466"/>
      <c r="L31" s="376" t="s">
        <v>53</v>
      </c>
      <c r="M31" s="377"/>
      <c r="N31" s="376" t="s">
        <v>170</v>
      </c>
      <c r="O31" s="377"/>
      <c r="P31" s="380" t="s">
        <v>54</v>
      </c>
      <c r="Q31" s="381"/>
      <c r="R31" s="361" t="s">
        <v>7</v>
      </c>
      <c r="S31" s="361"/>
      <c r="T31" s="384" t="s">
        <v>150</v>
      </c>
      <c r="U31" s="385"/>
      <c r="V31" s="360" t="s">
        <v>68</v>
      </c>
      <c r="W31" s="361"/>
      <c r="X31" s="360" t="s">
        <v>67</v>
      </c>
      <c r="Y31" s="361"/>
      <c r="Z31" s="361" t="s">
        <v>13</v>
      </c>
      <c r="AA31" s="363"/>
      <c r="AO31" s="39"/>
    </row>
    <row r="32" spans="2:41" s="37" customFormat="1" ht="21.95" customHeight="1" thickBot="1">
      <c r="C32" s="41"/>
      <c r="D32" s="41"/>
      <c r="E32" s="41"/>
      <c r="F32" s="41"/>
      <c r="G32" s="41"/>
      <c r="H32" s="41"/>
      <c r="I32" s="41"/>
      <c r="J32" s="467"/>
      <c r="K32" s="438"/>
      <c r="L32" s="378"/>
      <c r="M32" s="379"/>
      <c r="N32" s="378"/>
      <c r="O32" s="379"/>
      <c r="P32" s="382"/>
      <c r="Q32" s="383"/>
      <c r="R32" s="362"/>
      <c r="S32" s="362"/>
      <c r="T32" s="386"/>
      <c r="U32" s="387"/>
      <c r="V32" s="362"/>
      <c r="W32" s="362"/>
      <c r="X32" s="362"/>
      <c r="Y32" s="362"/>
      <c r="Z32" s="362"/>
      <c r="AA32" s="364"/>
      <c r="AE32" s="37" t="s">
        <v>140</v>
      </c>
      <c r="AF32" s="37" t="s">
        <v>141</v>
      </c>
    </row>
    <row r="33" spans="2:32" s="37" customFormat="1" ht="21.95" customHeight="1">
      <c r="C33" s="41"/>
      <c r="D33" s="41"/>
      <c r="E33" s="41"/>
      <c r="F33" s="41"/>
      <c r="G33" s="41"/>
      <c r="H33" s="41"/>
      <c r="I33" s="41"/>
      <c r="J33" s="433" t="s">
        <v>1</v>
      </c>
      <c r="K33" s="446"/>
      <c r="L33" s="388">
        <v>33.31</v>
      </c>
      <c r="M33" s="389"/>
      <c r="N33" s="388">
        <f>Q41+U41</f>
        <v>3.7850000000000001</v>
      </c>
      <c r="O33" s="389"/>
      <c r="P33" s="390">
        <f>IF(L33="","",L33-N33)</f>
        <v>29.525000000000002</v>
      </c>
      <c r="Q33" s="391"/>
      <c r="R33" s="392">
        <f>ROUND((IF(L33="","",部位U計算!$F$52)),3)</f>
        <v>0.49</v>
      </c>
      <c r="S33" s="392"/>
      <c r="T33" s="393"/>
      <c r="U33" s="393"/>
      <c r="V33" s="358">
        <f>IF(P33="","",IF(AD33=TRUE,0,P33*R33*0.034*$V$4))</f>
        <v>0.25184588800000002</v>
      </c>
      <c r="W33" s="358"/>
      <c r="X33" s="356">
        <f>IF(P33="","",IF(ISERROR(P33*R33*0.034*$X$4),"-",IF(AD33=TRUE,0,P33*R33*0.034*$X$4)))</f>
        <v>0.28480228350000003</v>
      </c>
      <c r="Y33" s="357"/>
      <c r="Z33" s="368">
        <f>IF(R33="","",IF(AD33=TRUE,0.7*R33*P33,R33*P33))</f>
        <v>14.46725</v>
      </c>
      <c r="AA33" s="369"/>
      <c r="AD33" s="40" t="b">
        <v>0</v>
      </c>
      <c r="AE33" s="40">
        <f>IF(AD33=TRUE,0.7,1)</f>
        <v>1</v>
      </c>
      <c r="AF33" s="40" t="str">
        <f>IF(AD33=TRUE,0,"セル")</f>
        <v>セル</v>
      </c>
    </row>
    <row r="34" spans="2:32" s="37" customFormat="1" ht="21.95" customHeight="1">
      <c r="C34" s="41"/>
      <c r="D34" s="41"/>
      <c r="E34" s="41"/>
      <c r="F34" s="41"/>
      <c r="G34" s="41"/>
      <c r="H34" s="41"/>
      <c r="I34" s="41"/>
      <c r="J34" s="419" t="s">
        <v>387</v>
      </c>
      <c r="K34" s="445"/>
      <c r="L34" s="488">
        <v>0</v>
      </c>
      <c r="M34" s="489"/>
      <c r="N34" s="488"/>
      <c r="O34" s="489"/>
      <c r="P34" s="490">
        <f t="shared" ref="P34:P35" si="20">IF(L34="","",L34-N34)</f>
        <v>0</v>
      </c>
      <c r="Q34" s="491"/>
      <c r="R34" s="488">
        <f>ROUND(IF(L34="","",部位U計算!$F$100),2)</f>
        <v>0.49</v>
      </c>
      <c r="S34" s="489"/>
      <c r="T34" s="498"/>
      <c r="U34" s="499"/>
      <c r="V34" s="356">
        <f t="shared" ref="V34:V35" si="21">IF(P34="","",IF(AD34=TRUE,0,P34*R34*0.034*$V$4))</f>
        <v>0</v>
      </c>
      <c r="W34" s="357"/>
      <c r="X34" s="356">
        <f t="shared" ref="X34:X35" si="22">IF(P34="","",IF(ISERROR(P34*R34*0.034*$X$4),"-",IF(AD34=TRUE,0,P34*R34*0.034*$X$4)))</f>
        <v>0</v>
      </c>
      <c r="Y34" s="357"/>
      <c r="Z34" s="356">
        <f t="shared" ref="Z34:Z35" si="23">IF(R34="","",IF(AD34=TRUE,0.7*R34*P34,R34*P34))</f>
        <v>0</v>
      </c>
      <c r="AA34" s="375"/>
      <c r="AD34" s="40" t="b">
        <v>0</v>
      </c>
      <c r="AE34" s="40">
        <f t="shared" ref="AE34:AE35" si="24">IF(AD34=TRUE,0.7,1)</f>
        <v>1</v>
      </c>
      <c r="AF34" s="40" t="str">
        <f t="shared" ref="AF34:AF35" si="25">IF(AD34=TRUE,0,"セル")</f>
        <v>セル</v>
      </c>
    </row>
    <row r="35" spans="2:32" s="37" customFormat="1" ht="21.95" customHeight="1">
      <c r="C35" s="41"/>
      <c r="D35" s="41"/>
      <c r="E35" s="41"/>
      <c r="F35" s="41"/>
      <c r="G35" s="41"/>
      <c r="H35" s="41"/>
      <c r="I35" s="41"/>
      <c r="J35" s="419" t="s">
        <v>387</v>
      </c>
      <c r="K35" s="445"/>
      <c r="L35" s="488">
        <v>0</v>
      </c>
      <c r="M35" s="489"/>
      <c r="N35" s="488"/>
      <c r="O35" s="489"/>
      <c r="P35" s="490">
        <f t="shared" si="20"/>
        <v>0</v>
      </c>
      <c r="Q35" s="491"/>
      <c r="R35" s="488">
        <f>ROUND(IF(L35="","",部位U計算!$F$114),2)</f>
        <v>1.18</v>
      </c>
      <c r="S35" s="489"/>
      <c r="T35" s="498"/>
      <c r="U35" s="499"/>
      <c r="V35" s="356">
        <f t="shared" si="21"/>
        <v>0</v>
      </c>
      <c r="W35" s="357"/>
      <c r="X35" s="356">
        <f t="shared" si="22"/>
        <v>0</v>
      </c>
      <c r="Y35" s="357"/>
      <c r="Z35" s="356">
        <f t="shared" si="23"/>
        <v>0</v>
      </c>
      <c r="AA35" s="375"/>
      <c r="AD35" s="40" t="b">
        <v>1</v>
      </c>
      <c r="AE35" s="40">
        <f t="shared" si="24"/>
        <v>0.7</v>
      </c>
      <c r="AF35" s="40">
        <f t="shared" si="25"/>
        <v>0</v>
      </c>
    </row>
    <row r="36" spans="2:32" s="37" customFormat="1" ht="21.95" customHeight="1">
      <c r="C36" s="41"/>
      <c r="D36" s="41"/>
      <c r="E36" s="41"/>
      <c r="F36" s="41"/>
      <c r="G36" s="41"/>
      <c r="H36" s="41"/>
      <c r="I36" s="41"/>
      <c r="J36" s="419" t="s">
        <v>388</v>
      </c>
      <c r="K36" s="445"/>
      <c r="L36" s="488">
        <v>0</v>
      </c>
      <c r="M36" s="489"/>
      <c r="N36" s="488"/>
      <c r="O36" s="489"/>
      <c r="P36" s="490">
        <f>IF(L36="","",L36-N36)</f>
        <v>0</v>
      </c>
      <c r="Q36" s="491"/>
      <c r="R36" s="370">
        <f>ROUND(IF(L36="","",部位U計算!$F$128),2)</f>
        <v>0.49</v>
      </c>
      <c r="S36" s="370"/>
      <c r="T36" s="371"/>
      <c r="U36" s="371"/>
      <c r="V36" s="358">
        <f>IF(P36="","",IF(AD36=TRUE,0,P36*R36*0.034*$V$4))</f>
        <v>0</v>
      </c>
      <c r="W36" s="358"/>
      <c r="X36" s="356">
        <f>IF(P36="","",IF(ISERROR(P36*R36*0.034*$X$4),"-",IF(AD36=TRUE,0,P36*R36*0.034*$X$4)))</f>
        <v>0</v>
      </c>
      <c r="Y36" s="357"/>
      <c r="Z36" s="358">
        <f>IF(R36="","",IF(AD36=TRUE,0.7*R36*P36,R36*P36))</f>
        <v>0</v>
      </c>
      <c r="AA36" s="359"/>
      <c r="AD36" s="40" t="b">
        <v>0</v>
      </c>
      <c r="AE36" s="40">
        <f>IF(AD36=TRUE,0.7,1)</f>
        <v>1</v>
      </c>
      <c r="AF36" s="40" t="str">
        <f>IF(AD36=TRUE,0,"セル")</f>
        <v>セル</v>
      </c>
    </row>
    <row r="37" spans="2:32" s="37" customFormat="1" ht="21.95" customHeight="1" thickBot="1">
      <c r="J37" s="350" t="s">
        <v>388</v>
      </c>
      <c r="K37" s="351"/>
      <c r="L37" s="346">
        <v>0</v>
      </c>
      <c r="M37" s="347"/>
      <c r="N37" s="346"/>
      <c r="O37" s="347"/>
      <c r="P37" s="348">
        <f>IF(L37="","",L37-N37)</f>
        <v>0</v>
      </c>
      <c r="Q37" s="349"/>
      <c r="R37" s="365">
        <f>ROUND(IF(L37="","",部位U計算!$F$142),2)</f>
        <v>1.18</v>
      </c>
      <c r="S37" s="365"/>
      <c r="T37" s="366"/>
      <c r="U37" s="366"/>
      <c r="V37" s="367">
        <f>IF(P37="","",IF(AD37=TRUE,0,P37*R37*0.034*$V$4))</f>
        <v>0</v>
      </c>
      <c r="W37" s="367"/>
      <c r="X37" s="372">
        <f>IF(P37="","",IF(ISERROR(P37*R37*0.034*$X$4),"-",IF(AD37=TRUE,0,P37*R37*0.034*$X$4)))</f>
        <v>0</v>
      </c>
      <c r="Y37" s="373"/>
      <c r="Z37" s="367">
        <f>IF(R37="","",IF(AD37=TRUE,0.7*R37*P37,R37*P37))</f>
        <v>0</v>
      </c>
      <c r="AA37" s="374"/>
      <c r="AD37" s="40" t="b">
        <v>1</v>
      </c>
      <c r="AE37" s="40">
        <f>IF(AD37=TRUE,0.7,1)</f>
        <v>0.7</v>
      </c>
      <c r="AF37" s="40">
        <f>IF(AD37=TRUE,0,"セル")</f>
        <v>0</v>
      </c>
    </row>
    <row r="38" spans="2:32" s="37" customFormat="1" ht="21.95" customHeight="1" thickBot="1">
      <c r="J38" s="408" t="s">
        <v>121</v>
      </c>
      <c r="K38" s="409"/>
      <c r="L38" s="409"/>
      <c r="M38" s="409"/>
      <c r="N38" s="409"/>
      <c r="O38" s="409"/>
      <c r="P38" s="409"/>
      <c r="Q38" s="409"/>
      <c r="R38" s="409"/>
      <c r="S38" s="409"/>
      <c r="T38" s="409"/>
      <c r="U38" s="468"/>
      <c r="V38" s="344">
        <f>SUM(V33:W37)</f>
        <v>0.25184588800000002</v>
      </c>
      <c r="W38" s="344"/>
      <c r="X38" s="344">
        <f>SUM(X33:Y37)</f>
        <v>0.28480228350000003</v>
      </c>
      <c r="Y38" s="344"/>
      <c r="Z38" s="344">
        <f>SUM(Z33:AA37)</f>
        <v>14.46725</v>
      </c>
      <c r="AA38" s="345"/>
    </row>
    <row r="39" spans="2:32" s="37" customFormat="1" ht="9.9499999999999993" customHeight="1"/>
    <row r="40" spans="2:32" s="37" customFormat="1" ht="21.95" customHeight="1" thickBot="1">
      <c r="B40" s="38" t="s">
        <v>122</v>
      </c>
    </row>
    <row r="41" spans="2:32" s="37" customFormat="1" ht="21.95" customHeight="1">
      <c r="B41" s="327" t="s">
        <v>103</v>
      </c>
      <c r="C41" s="328"/>
      <c r="D41" s="333" t="s">
        <v>56</v>
      </c>
      <c r="E41" s="334"/>
      <c r="F41" s="334"/>
      <c r="G41" s="334"/>
      <c r="H41" s="334"/>
      <c r="I41" s="334"/>
      <c r="J41" s="335"/>
      <c r="K41" s="42"/>
      <c r="L41" s="336">
        <f>Q41+U41+Y41</f>
        <v>33.31</v>
      </c>
      <c r="M41" s="336"/>
      <c r="N41" s="336"/>
      <c r="O41" s="42" t="s">
        <v>24</v>
      </c>
      <c r="P41" s="43" t="s">
        <v>23</v>
      </c>
      <c r="Q41" s="337">
        <f>D8*F8+D9*F9+D10*F10+D11*F11+D12*F12+D13*F13+D14*F14+D15*F15+D16*F16+D17*F17+D18*F18+D19*F19</f>
        <v>3.7850000000000001</v>
      </c>
      <c r="R41" s="337"/>
      <c r="S41" s="44" t="s">
        <v>25</v>
      </c>
      <c r="T41" s="44" t="s">
        <v>22</v>
      </c>
      <c r="U41" s="338">
        <f>N25*P25+N26*P26+N27*P27</f>
        <v>0</v>
      </c>
      <c r="V41" s="338"/>
      <c r="W41" s="44" t="s">
        <v>25</v>
      </c>
      <c r="X41" s="44" t="s">
        <v>1</v>
      </c>
      <c r="Y41" s="339">
        <f>SUM(P33:Q37)</f>
        <v>29.525000000000002</v>
      </c>
      <c r="Z41" s="339"/>
      <c r="AA41" s="45" t="s">
        <v>19</v>
      </c>
    </row>
    <row r="42" spans="2:32" s="37" customFormat="1" ht="21.95" customHeight="1">
      <c r="B42" s="329"/>
      <c r="C42" s="330"/>
      <c r="D42" s="340" t="s">
        <v>72</v>
      </c>
      <c r="E42" s="341"/>
      <c r="F42" s="341"/>
      <c r="G42" s="341"/>
      <c r="H42" s="341"/>
      <c r="I42" s="341"/>
      <c r="J42" s="342"/>
      <c r="K42" s="46"/>
      <c r="L42" s="46"/>
      <c r="M42" s="46"/>
      <c r="N42" s="46"/>
      <c r="O42" s="46"/>
      <c r="P42" s="46"/>
      <c r="Q42" s="46"/>
      <c r="R42" s="46"/>
      <c r="S42" s="46"/>
      <c r="T42" s="46"/>
      <c r="U42" s="46"/>
      <c r="V42" s="46"/>
      <c r="W42" s="343">
        <f>V20+V28+V38</f>
        <v>1.0808880640000003</v>
      </c>
      <c r="X42" s="343"/>
      <c r="Y42" s="343"/>
      <c r="Z42" s="46"/>
      <c r="AA42" s="47"/>
    </row>
    <row r="43" spans="2:32" s="37" customFormat="1" ht="21.95" customHeight="1">
      <c r="B43" s="329"/>
      <c r="C43" s="330"/>
      <c r="D43" s="340" t="s">
        <v>73</v>
      </c>
      <c r="E43" s="341"/>
      <c r="F43" s="341"/>
      <c r="G43" s="341"/>
      <c r="H43" s="341"/>
      <c r="I43" s="341"/>
      <c r="J43" s="342"/>
      <c r="K43" s="46"/>
      <c r="L43" s="46"/>
      <c r="M43" s="46"/>
      <c r="N43" s="46"/>
      <c r="O43" s="46"/>
      <c r="P43" s="46"/>
      <c r="Q43" s="46"/>
      <c r="R43" s="46"/>
      <c r="S43" s="46"/>
      <c r="T43" s="46"/>
      <c r="U43" s="46"/>
      <c r="V43" s="46"/>
      <c r="W43" s="343">
        <f>X20+X28+X38</f>
        <v>0.79893170250000001</v>
      </c>
      <c r="X43" s="343"/>
      <c r="Y43" s="343"/>
      <c r="Z43" s="46"/>
      <c r="AA43" s="47"/>
    </row>
    <row r="44" spans="2:32" s="37" customFormat="1" ht="21.95" customHeight="1" thickBot="1">
      <c r="B44" s="331"/>
      <c r="C44" s="332"/>
      <c r="D44" s="352" t="s">
        <v>20</v>
      </c>
      <c r="E44" s="353"/>
      <c r="F44" s="353"/>
      <c r="G44" s="353"/>
      <c r="H44" s="353"/>
      <c r="I44" s="353"/>
      <c r="J44" s="354"/>
      <c r="K44" s="48"/>
      <c r="L44" s="48"/>
      <c r="M44" s="48"/>
      <c r="N44" s="48"/>
      <c r="O44" s="48"/>
      <c r="P44" s="48"/>
      <c r="Q44" s="48"/>
      <c r="R44" s="48"/>
      <c r="S44" s="48"/>
      <c r="T44" s="48"/>
      <c r="U44" s="48"/>
      <c r="V44" s="48"/>
      <c r="W44" s="355">
        <f>Z20+Z28+Z38</f>
        <v>27.6769</v>
      </c>
      <c r="X44" s="355"/>
      <c r="Y44" s="355"/>
      <c r="Z44" s="49" t="s">
        <v>21</v>
      </c>
      <c r="AA44" s="50"/>
    </row>
    <row r="45" spans="2:32" s="37" customFormat="1" ht="21.95" customHeight="1"/>
    <row r="46" spans="2:32" s="37" customFormat="1" ht="21.95" customHeight="1"/>
    <row r="47" spans="2:32" s="37" customFormat="1" ht="21.95" customHeight="1"/>
    <row r="48" spans="2:32" s="37" customFormat="1" ht="21.95" customHeight="1"/>
    <row r="49" s="37" customFormat="1" ht="21.95" customHeight="1"/>
    <row r="50" s="37" customFormat="1" ht="21.95" customHeight="1"/>
    <row r="51" s="37" customFormat="1" ht="21.95" customHeight="1"/>
    <row r="52" s="37" customFormat="1" ht="21.95" customHeight="1"/>
    <row r="53" s="37" customFormat="1" ht="21.95" customHeight="1"/>
    <row r="54" s="37" customFormat="1" ht="21.95" customHeight="1"/>
    <row r="55" s="37" customFormat="1" ht="21.95" customHeight="1"/>
    <row r="56" s="37" customFormat="1" ht="21.95" customHeight="1"/>
    <row r="57" s="37" customFormat="1" ht="21.95" customHeight="1"/>
    <row r="58" s="37" customFormat="1" ht="21.95" customHeight="1"/>
    <row r="59" s="37" customFormat="1" ht="21.95" customHeight="1"/>
    <row r="60" s="37" customFormat="1" ht="21.95" customHeight="1"/>
    <row r="61" s="37" customFormat="1" ht="24.95" customHeight="1"/>
    <row r="62" s="37" customFormat="1" ht="24.95" customHeight="1"/>
    <row r="63" s="37" customFormat="1" ht="24.95" customHeight="1"/>
    <row r="64" s="37" customFormat="1" ht="24.95" customHeight="1"/>
    <row r="65" s="37" customFormat="1" ht="24.95" customHeight="1"/>
    <row r="66" s="37" customFormat="1" ht="24.95" customHeight="1"/>
    <row r="67" s="37" customFormat="1" ht="24.95" customHeight="1"/>
    <row r="68" s="37" customFormat="1" ht="24.95" customHeight="1"/>
    <row r="69" s="37" customFormat="1" ht="24.95" customHeight="1"/>
    <row r="70" s="37" customFormat="1" ht="24.95" customHeight="1"/>
    <row r="71" s="37" customFormat="1" ht="24.95" customHeight="1"/>
    <row r="72" s="37" customFormat="1" ht="24.95" customHeight="1"/>
    <row r="73" s="37" customFormat="1" ht="24.95" customHeight="1"/>
    <row r="74" s="37" customFormat="1" ht="24.95" customHeight="1"/>
    <row r="75" s="37" customFormat="1" ht="24.95" customHeight="1"/>
    <row r="76" s="37" customFormat="1" ht="24.95" customHeight="1"/>
    <row r="77" s="37" customFormat="1" ht="24.95" customHeight="1"/>
    <row r="78" s="37" customFormat="1" ht="24.95" customHeight="1"/>
    <row r="79" s="37" customFormat="1" ht="24.95" customHeight="1"/>
    <row r="80" s="37" customFormat="1" ht="24.95" customHeight="1"/>
    <row r="81" s="37" customFormat="1" ht="24.95" customHeight="1"/>
    <row r="82" s="37" customFormat="1" ht="24.95" customHeight="1"/>
    <row r="83" s="37" customFormat="1" ht="24.95" customHeight="1"/>
    <row r="84" s="37" customFormat="1" ht="24.95" customHeight="1"/>
    <row r="85" s="37" customFormat="1" ht="24.95" customHeight="1"/>
    <row r="86" s="37" customFormat="1" ht="24.95" customHeight="1"/>
    <row r="87" s="37" customFormat="1" ht="24.95" customHeight="1"/>
    <row r="88" s="37" customFormat="1" ht="24.95" customHeight="1"/>
    <row r="89" s="37" customFormat="1" ht="24.95" customHeight="1"/>
    <row r="90" s="37" customFormat="1" ht="24.95" customHeight="1"/>
    <row r="91" s="37" customFormat="1" ht="24.95" customHeight="1"/>
    <row r="92" s="37" customFormat="1" ht="24.95" customHeight="1"/>
    <row r="93" s="37" customFormat="1" ht="24.95" customHeight="1"/>
    <row r="94" s="51" customFormat="1" ht="24.95" customHeight="1"/>
    <row r="95" s="51" customFormat="1"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sheetData>
  <sheetProtection algorithmName="SHA-512" hashValue="fuArhLarp9K6Ii+hsZnQ/WVtuqBFJnuBA+/S8vpDOs/Q1YvEkVWx2S1Omty6/+oARD5GQuiMgbWrZLEBxyJjDg==" saltValue="C79Y0yDHYj60KlBb/DzqdA==" spinCount="100000" sheet="1" objects="1" scenarios="1" selectLockedCells="1"/>
  <mergeCells count="293">
    <mergeCell ref="L34:M34"/>
    <mergeCell ref="L35:M35"/>
    <mergeCell ref="N34:O34"/>
    <mergeCell ref="N35:O35"/>
    <mergeCell ref="P34:Q34"/>
    <mergeCell ref="P35:Q35"/>
    <mergeCell ref="R34:S34"/>
    <mergeCell ref="R35:S35"/>
    <mergeCell ref="V34:W34"/>
    <mergeCell ref="V35:W35"/>
    <mergeCell ref="T34:U34"/>
    <mergeCell ref="T35:U35"/>
    <mergeCell ref="V12:W12"/>
    <mergeCell ref="V13:W13"/>
    <mergeCell ref="X12:Y12"/>
    <mergeCell ref="X13:Y13"/>
    <mergeCell ref="Z12:AA12"/>
    <mergeCell ref="Z13:AA13"/>
    <mergeCell ref="N26:O26"/>
    <mergeCell ref="P26:Q26"/>
    <mergeCell ref="J26:M26"/>
    <mergeCell ref="R26:S26"/>
    <mergeCell ref="T26:U26"/>
    <mergeCell ref="V26:W26"/>
    <mergeCell ref="X26:Y26"/>
    <mergeCell ref="Z26:AA26"/>
    <mergeCell ref="N12:O12"/>
    <mergeCell ref="N13:O13"/>
    <mergeCell ref="L12:M12"/>
    <mergeCell ref="L13:M13"/>
    <mergeCell ref="P12:Q12"/>
    <mergeCell ref="P13:Q13"/>
    <mergeCell ref="R12:S12"/>
    <mergeCell ref="R13:S13"/>
    <mergeCell ref="T12:U12"/>
    <mergeCell ref="T13:U13"/>
    <mergeCell ref="B12:C12"/>
    <mergeCell ref="B13:C13"/>
    <mergeCell ref="D12:E12"/>
    <mergeCell ref="D13:E13"/>
    <mergeCell ref="F12:G12"/>
    <mergeCell ref="F13:G13"/>
    <mergeCell ref="H12:I12"/>
    <mergeCell ref="H13:I13"/>
    <mergeCell ref="J12:K12"/>
    <mergeCell ref="J13:K13"/>
    <mergeCell ref="J34:K34"/>
    <mergeCell ref="J35:K35"/>
    <mergeCell ref="J27:M27"/>
    <mergeCell ref="J31:K32"/>
    <mergeCell ref="J28:U28"/>
    <mergeCell ref="J38:U38"/>
    <mergeCell ref="D6:E7"/>
    <mergeCell ref="F6:G7"/>
    <mergeCell ref="N6:O7"/>
    <mergeCell ref="P6:U6"/>
    <mergeCell ref="N8:O8"/>
    <mergeCell ref="P8:Q8"/>
    <mergeCell ref="T10:U10"/>
    <mergeCell ref="T14:U14"/>
    <mergeCell ref="T16:U16"/>
    <mergeCell ref="N25:O25"/>
    <mergeCell ref="P25:Q25"/>
    <mergeCell ref="R25:S25"/>
    <mergeCell ref="T25:U25"/>
    <mergeCell ref="J23:M24"/>
    <mergeCell ref="J25:M25"/>
    <mergeCell ref="L36:M36"/>
    <mergeCell ref="N36:O36"/>
    <mergeCell ref="P36:Q36"/>
    <mergeCell ref="J36:K36"/>
    <mergeCell ref="J33:K33"/>
    <mergeCell ref="B2:AA2"/>
    <mergeCell ref="R4:U4"/>
    <mergeCell ref="V4:W4"/>
    <mergeCell ref="X4:Y4"/>
    <mergeCell ref="B5:C7"/>
    <mergeCell ref="D5:G5"/>
    <mergeCell ref="H5:I7"/>
    <mergeCell ref="J5:K7"/>
    <mergeCell ref="L5:M7"/>
    <mergeCell ref="N5:U5"/>
    <mergeCell ref="J8:K8"/>
    <mergeCell ref="L8:M8"/>
    <mergeCell ref="R8:S8"/>
    <mergeCell ref="T8:U8"/>
    <mergeCell ref="V8:W8"/>
    <mergeCell ref="J10:K10"/>
    <mergeCell ref="L10:M10"/>
    <mergeCell ref="N10:O10"/>
    <mergeCell ref="P10:Q10"/>
    <mergeCell ref="R10:S10"/>
    <mergeCell ref="X8:Y8"/>
    <mergeCell ref="Z8:AA8"/>
    <mergeCell ref="AD6:AE6"/>
    <mergeCell ref="AH6:AI6"/>
    <mergeCell ref="AK6:AL6"/>
    <mergeCell ref="AN6:AO6"/>
    <mergeCell ref="P7:Q7"/>
    <mergeCell ref="R7:S7"/>
    <mergeCell ref="T7:U7"/>
    <mergeCell ref="V5:W7"/>
    <mergeCell ref="X5:Y7"/>
    <mergeCell ref="Z5:AA7"/>
    <mergeCell ref="B9:C9"/>
    <mergeCell ref="D9:E9"/>
    <mergeCell ref="F9:G9"/>
    <mergeCell ref="H9:I9"/>
    <mergeCell ref="J9:K9"/>
    <mergeCell ref="L9:M9"/>
    <mergeCell ref="N9:O9"/>
    <mergeCell ref="P9:Q9"/>
    <mergeCell ref="R9:S9"/>
    <mergeCell ref="T9:U9"/>
    <mergeCell ref="V9:W9"/>
    <mergeCell ref="X9:Y9"/>
    <mergeCell ref="Z9:AA9"/>
    <mergeCell ref="B8:C8"/>
    <mergeCell ref="D8:E8"/>
    <mergeCell ref="F8:G8"/>
    <mergeCell ref="H8:I8"/>
    <mergeCell ref="L14:M14"/>
    <mergeCell ref="N14:O14"/>
    <mergeCell ref="P14:Q14"/>
    <mergeCell ref="R14:S14"/>
    <mergeCell ref="V10:W10"/>
    <mergeCell ref="X10:Y10"/>
    <mergeCell ref="Z10:AA10"/>
    <mergeCell ref="B11:C11"/>
    <mergeCell ref="D11:E11"/>
    <mergeCell ref="F11:G11"/>
    <mergeCell ref="H11:I11"/>
    <mergeCell ref="J11:K11"/>
    <mergeCell ref="L11:M11"/>
    <mergeCell ref="N11:O11"/>
    <mergeCell ref="P11:Q11"/>
    <mergeCell ref="R11:S11"/>
    <mergeCell ref="T11:U11"/>
    <mergeCell ref="V11:W11"/>
    <mergeCell ref="X11:Y11"/>
    <mergeCell ref="Z11:AA11"/>
    <mergeCell ref="B10:C10"/>
    <mergeCell ref="D10:E10"/>
    <mergeCell ref="F10:G10"/>
    <mergeCell ref="H10:I10"/>
    <mergeCell ref="N16:O16"/>
    <mergeCell ref="P16:Q16"/>
    <mergeCell ref="R16:S16"/>
    <mergeCell ref="V14:W14"/>
    <mergeCell ref="X14:Y14"/>
    <mergeCell ref="Z14:AA14"/>
    <mergeCell ref="B15:C15"/>
    <mergeCell ref="D15:E15"/>
    <mergeCell ref="F15:G15"/>
    <mergeCell ref="H15:I15"/>
    <mergeCell ref="J15:K15"/>
    <mergeCell ref="L15:M15"/>
    <mergeCell ref="N15:O15"/>
    <mergeCell ref="P15:Q15"/>
    <mergeCell ref="R15:S15"/>
    <mergeCell ref="T15:U15"/>
    <mergeCell ref="V15:W15"/>
    <mergeCell ref="X15:Y15"/>
    <mergeCell ref="Z15:AA15"/>
    <mergeCell ref="B14:C14"/>
    <mergeCell ref="D14:E14"/>
    <mergeCell ref="F14:G14"/>
    <mergeCell ref="H14:I14"/>
    <mergeCell ref="J14:K14"/>
    <mergeCell ref="Z18:AA18"/>
    <mergeCell ref="X18:Y18"/>
    <mergeCell ref="V16:W16"/>
    <mergeCell ref="X16:Y16"/>
    <mergeCell ref="Z16:AA16"/>
    <mergeCell ref="B17:C17"/>
    <mergeCell ref="D17:E17"/>
    <mergeCell ref="F17:G17"/>
    <mergeCell ref="H17:I17"/>
    <mergeCell ref="J17:K17"/>
    <mergeCell ref="L17:M17"/>
    <mergeCell ref="N17:O17"/>
    <mergeCell ref="P17:Q17"/>
    <mergeCell ref="R17:S17"/>
    <mergeCell ref="T17:U17"/>
    <mergeCell ref="V17:W17"/>
    <mergeCell ref="X17:Y17"/>
    <mergeCell ref="Z17:AA17"/>
    <mergeCell ref="B16:C16"/>
    <mergeCell ref="D16:E16"/>
    <mergeCell ref="F16:G16"/>
    <mergeCell ref="H16:I16"/>
    <mergeCell ref="J16:K16"/>
    <mergeCell ref="L16:M16"/>
    <mergeCell ref="R18:S18"/>
    <mergeCell ref="T18:U18"/>
    <mergeCell ref="V18:W18"/>
    <mergeCell ref="B18:C18"/>
    <mergeCell ref="D18:E18"/>
    <mergeCell ref="F18:G18"/>
    <mergeCell ref="H18:I18"/>
    <mergeCell ref="J18:K18"/>
    <mergeCell ref="L18:M18"/>
    <mergeCell ref="N18:O18"/>
    <mergeCell ref="P18:Q18"/>
    <mergeCell ref="X19:Y19"/>
    <mergeCell ref="Z19:AA19"/>
    <mergeCell ref="B20:U20"/>
    <mergeCell ref="V20:W20"/>
    <mergeCell ref="X20:Y20"/>
    <mergeCell ref="Z20:AA20"/>
    <mergeCell ref="L19:M19"/>
    <mergeCell ref="N19:O19"/>
    <mergeCell ref="P19:Q19"/>
    <mergeCell ref="R19:S19"/>
    <mergeCell ref="B19:C19"/>
    <mergeCell ref="D19:E19"/>
    <mergeCell ref="F19:G19"/>
    <mergeCell ref="H19:I19"/>
    <mergeCell ref="J19:K19"/>
    <mergeCell ref="T19:U19"/>
    <mergeCell ref="V19:W19"/>
    <mergeCell ref="AN21:AO21"/>
    <mergeCell ref="N23:Q23"/>
    <mergeCell ref="R23:S24"/>
    <mergeCell ref="T23:U24"/>
    <mergeCell ref="V23:W24"/>
    <mergeCell ref="X23:Y24"/>
    <mergeCell ref="Z23:AA24"/>
    <mergeCell ref="AN23:AO23"/>
    <mergeCell ref="N24:O24"/>
    <mergeCell ref="P24:Q24"/>
    <mergeCell ref="V25:W25"/>
    <mergeCell ref="X25:Y25"/>
    <mergeCell ref="Z25:AA25"/>
    <mergeCell ref="N27:O27"/>
    <mergeCell ref="P27:Q27"/>
    <mergeCell ref="R27:S27"/>
    <mergeCell ref="T27:U27"/>
    <mergeCell ref="V27:W27"/>
    <mergeCell ref="X27:Y27"/>
    <mergeCell ref="Z27:AA27"/>
    <mergeCell ref="V28:W28"/>
    <mergeCell ref="X28:Y28"/>
    <mergeCell ref="Z28:AA28"/>
    <mergeCell ref="L31:M32"/>
    <mergeCell ref="N31:O32"/>
    <mergeCell ref="P31:Q32"/>
    <mergeCell ref="R31:S32"/>
    <mergeCell ref="T31:U32"/>
    <mergeCell ref="L33:M33"/>
    <mergeCell ref="N33:O33"/>
    <mergeCell ref="P33:Q33"/>
    <mergeCell ref="R33:S33"/>
    <mergeCell ref="T33:U33"/>
    <mergeCell ref="V33:W33"/>
    <mergeCell ref="X36:Y36"/>
    <mergeCell ref="Z36:AA36"/>
    <mergeCell ref="V31:W32"/>
    <mergeCell ref="X31:Y32"/>
    <mergeCell ref="Z31:AA32"/>
    <mergeCell ref="X33:Y33"/>
    <mergeCell ref="R37:S37"/>
    <mergeCell ref="T37:U37"/>
    <mergeCell ref="V37:W37"/>
    <mergeCell ref="Z33:AA33"/>
    <mergeCell ref="R36:S36"/>
    <mergeCell ref="T36:U36"/>
    <mergeCell ref="V36:W36"/>
    <mergeCell ref="X37:Y37"/>
    <mergeCell ref="Z37:AA37"/>
    <mergeCell ref="X34:Y34"/>
    <mergeCell ref="X35:Y35"/>
    <mergeCell ref="Z34:AA34"/>
    <mergeCell ref="Z35:AA35"/>
    <mergeCell ref="V38:W38"/>
    <mergeCell ref="X38:Y38"/>
    <mergeCell ref="Z38:AA38"/>
    <mergeCell ref="L37:M37"/>
    <mergeCell ref="N37:O37"/>
    <mergeCell ref="P37:Q37"/>
    <mergeCell ref="J37:K37"/>
    <mergeCell ref="D44:J44"/>
    <mergeCell ref="W44:Y44"/>
    <mergeCell ref="B41:C44"/>
    <mergeCell ref="D41:J41"/>
    <mergeCell ref="L41:N41"/>
    <mergeCell ref="Q41:R41"/>
    <mergeCell ref="U41:V41"/>
    <mergeCell ref="Y41:Z41"/>
    <mergeCell ref="D42:J42"/>
    <mergeCell ref="W42:Y42"/>
    <mergeCell ref="D43:J43"/>
    <mergeCell ref="W43:Y43"/>
  </mergeCells>
  <phoneticPr fontId="2"/>
  <conditionalFormatting sqref="V20:W20">
    <cfRule type="expression" dxfId="255" priority="51" stopIfTrue="1">
      <formula>$V$20=0</formula>
    </cfRule>
  </conditionalFormatting>
  <conditionalFormatting sqref="X20:Y20">
    <cfRule type="expression" dxfId="254" priority="50" stopIfTrue="1">
      <formula>$X$20=0</formula>
    </cfRule>
  </conditionalFormatting>
  <conditionalFormatting sqref="Z20:AA20">
    <cfRule type="expression" dxfId="253" priority="49" stopIfTrue="1">
      <formula>$Z$20=0</formula>
    </cfRule>
  </conditionalFormatting>
  <conditionalFormatting sqref="V28:W28">
    <cfRule type="expression" dxfId="252" priority="48" stopIfTrue="1">
      <formula>$V$28:$W$28=0</formula>
    </cfRule>
  </conditionalFormatting>
  <conditionalFormatting sqref="V38:W38">
    <cfRule type="expression" dxfId="251" priority="47" stopIfTrue="1">
      <formula>$V$38:$W$38=0</formula>
    </cfRule>
  </conditionalFormatting>
  <conditionalFormatting sqref="Y41:Z41">
    <cfRule type="expression" dxfId="250" priority="46" stopIfTrue="1">
      <formula>$Y$41=0</formula>
    </cfRule>
  </conditionalFormatting>
  <conditionalFormatting sqref="Q41:R41">
    <cfRule type="expression" dxfId="249" priority="45" stopIfTrue="1">
      <formula>$Q$41=0</formula>
    </cfRule>
  </conditionalFormatting>
  <conditionalFormatting sqref="U41:V41">
    <cfRule type="expression" dxfId="248" priority="44" stopIfTrue="1">
      <formula>$U$41=0</formula>
    </cfRule>
  </conditionalFormatting>
  <conditionalFormatting sqref="L41:N41">
    <cfRule type="expression" dxfId="247" priority="43" stopIfTrue="1">
      <formula>$L$41=0</formula>
    </cfRule>
  </conditionalFormatting>
  <conditionalFormatting sqref="X8:Y8">
    <cfRule type="expression" dxfId="246" priority="41" stopIfTrue="1">
      <formula>#VALUE!</formula>
    </cfRule>
    <cfRule type="expression" dxfId="245" priority="42" stopIfTrue="1">
      <formula>#VALUE!</formula>
    </cfRule>
  </conditionalFormatting>
  <conditionalFormatting sqref="X19:Y19">
    <cfRule type="expression" dxfId="244" priority="40" stopIfTrue="1">
      <formula>#VALUE!</formula>
    </cfRule>
  </conditionalFormatting>
  <conditionalFormatting sqref="X8:Y8">
    <cfRule type="expression" dxfId="243" priority="28" stopIfTrue="1">
      <formula>#VALUE!</formula>
    </cfRule>
    <cfRule type="expression" dxfId="242" priority="29" stopIfTrue="1">
      <formula>#VALUE!</formula>
    </cfRule>
  </conditionalFormatting>
  <conditionalFormatting sqref="X19:Y19">
    <cfRule type="expression" dxfId="241" priority="27" stopIfTrue="1">
      <formula>#VALUE!</formula>
    </cfRule>
  </conditionalFormatting>
  <conditionalFormatting sqref="X28:Y28">
    <cfRule type="expression" dxfId="240" priority="26" stopIfTrue="1">
      <formula>$X$28:$Y$28=0</formula>
    </cfRule>
  </conditionalFormatting>
  <conditionalFormatting sqref="Z28:AA28">
    <cfRule type="expression" dxfId="239" priority="25" stopIfTrue="1">
      <formula>$Z$28:$AA$28=0</formula>
    </cfRule>
  </conditionalFormatting>
  <conditionalFormatting sqref="X38:Y38">
    <cfRule type="expression" dxfId="238" priority="24" stopIfTrue="1">
      <formula>$V$38:$W$38=0</formula>
    </cfRule>
  </conditionalFormatting>
  <conditionalFormatting sqref="Z38:AA38">
    <cfRule type="expression" dxfId="237" priority="23" stopIfTrue="1">
      <formula>$Z$38:$AA$38=0</formula>
    </cfRule>
  </conditionalFormatting>
  <conditionalFormatting sqref="P8:U8">
    <cfRule type="expression" dxfId="236" priority="12" stopIfTrue="1">
      <formula>$AG$8=TRUE</formula>
    </cfRule>
  </conditionalFormatting>
  <conditionalFormatting sqref="P15:U15">
    <cfRule type="expression" dxfId="235" priority="11" stopIfTrue="1">
      <formula>$AG$15=TRUE</formula>
    </cfRule>
  </conditionalFormatting>
  <conditionalFormatting sqref="P16:U16">
    <cfRule type="expression" dxfId="234" priority="10" stopIfTrue="1">
      <formula>$AG$16=TRUE</formula>
    </cfRule>
  </conditionalFormatting>
  <conditionalFormatting sqref="P17:U17">
    <cfRule type="expression" dxfId="233" priority="9" stopIfTrue="1">
      <formula>$AG$17=TRUE</formula>
    </cfRule>
  </conditionalFormatting>
  <conditionalFormatting sqref="P18:U18">
    <cfRule type="expression" dxfId="232" priority="8" stopIfTrue="1">
      <formula>$AG$18=TRUE</formula>
    </cfRule>
  </conditionalFormatting>
  <conditionalFormatting sqref="P19:U19">
    <cfRule type="expression" dxfId="231" priority="7" stopIfTrue="1">
      <formula>$AG$19=TRUE</formula>
    </cfRule>
  </conditionalFormatting>
  <conditionalFormatting sqref="P10:U10">
    <cfRule type="expression" dxfId="230" priority="6" stopIfTrue="1">
      <formula>$AG$10=TRUE</formula>
    </cfRule>
  </conditionalFormatting>
  <conditionalFormatting sqref="P11:U11">
    <cfRule type="expression" dxfId="229" priority="5" stopIfTrue="1">
      <formula>$AG$11=TRUE</formula>
    </cfRule>
  </conditionalFormatting>
  <conditionalFormatting sqref="P14:U14">
    <cfRule type="expression" dxfId="228" priority="4" stopIfTrue="1">
      <formula>$AG$14=TRUE</formula>
    </cfRule>
  </conditionalFormatting>
  <conditionalFormatting sqref="P9:U9">
    <cfRule type="expression" dxfId="227" priority="3" stopIfTrue="1">
      <formula>$AG$9=TRUE</formula>
    </cfRule>
  </conditionalFormatting>
  <conditionalFormatting sqref="P12:U12">
    <cfRule type="expression" dxfId="226" priority="2">
      <formula>$AG$12=TRUE</formula>
    </cfRule>
  </conditionalFormatting>
  <conditionalFormatting sqref="P13:U13">
    <cfRule type="expression" dxfId="225" priority="1">
      <formula>$AG$13=TRUE</formula>
    </cfRule>
  </conditionalFormatting>
  <dataValidations count="1">
    <dataValidation type="list" allowBlank="1" showInputMessage="1" showErrorMessage="1" sqref="M14:M19 L8:L19 M8:M11 T25:T27 U25 U27">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88" orientation="portrait" horizontalDpi="300" verticalDpi="300" r:id="rId1"/>
  <headerFooter>
    <oddHeader>&amp;Rver. 1.7 [H28]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9329" r:id="rId4" name="Check Box 1">
              <controlPr defaultSize="0" autoFill="0" autoLine="0" autoPict="0">
                <anchor moveWithCells="1">
                  <from>
                    <xdr:col>13</xdr:col>
                    <xdr:colOff>190500</xdr:colOff>
                    <xdr:row>7</xdr:row>
                    <xdr:rowOff>47625</xdr:rowOff>
                  </from>
                  <to>
                    <xdr:col>14</xdr:col>
                    <xdr:colOff>200025</xdr:colOff>
                    <xdr:row>7</xdr:row>
                    <xdr:rowOff>257175</xdr:rowOff>
                  </to>
                </anchor>
              </controlPr>
            </control>
          </mc:Choice>
        </mc:AlternateContent>
        <mc:AlternateContent xmlns:mc="http://schemas.openxmlformats.org/markup-compatibility/2006">
          <mc:Choice Requires="x14">
            <control shapeId="99330" r:id="rId5" name="Check Box 2">
              <controlPr defaultSize="0" autoFill="0" autoLine="0" autoPict="0">
                <anchor moveWithCells="1">
                  <from>
                    <xdr:col>13</xdr:col>
                    <xdr:colOff>190500</xdr:colOff>
                    <xdr:row>8</xdr:row>
                    <xdr:rowOff>47625</xdr:rowOff>
                  </from>
                  <to>
                    <xdr:col>14</xdr:col>
                    <xdr:colOff>200025</xdr:colOff>
                    <xdr:row>8</xdr:row>
                    <xdr:rowOff>257175</xdr:rowOff>
                  </to>
                </anchor>
              </controlPr>
            </control>
          </mc:Choice>
        </mc:AlternateContent>
        <mc:AlternateContent xmlns:mc="http://schemas.openxmlformats.org/markup-compatibility/2006">
          <mc:Choice Requires="x14">
            <control shapeId="99331" r:id="rId6" name="Check Box 3">
              <controlPr defaultSize="0" autoFill="0" autoLine="0" autoPict="0">
                <anchor moveWithCells="1">
                  <from>
                    <xdr:col>13</xdr:col>
                    <xdr:colOff>190500</xdr:colOff>
                    <xdr:row>14</xdr:row>
                    <xdr:rowOff>47625</xdr:rowOff>
                  </from>
                  <to>
                    <xdr:col>14</xdr:col>
                    <xdr:colOff>200025</xdr:colOff>
                    <xdr:row>14</xdr:row>
                    <xdr:rowOff>257175</xdr:rowOff>
                  </to>
                </anchor>
              </controlPr>
            </control>
          </mc:Choice>
        </mc:AlternateContent>
        <mc:AlternateContent xmlns:mc="http://schemas.openxmlformats.org/markup-compatibility/2006">
          <mc:Choice Requires="x14">
            <control shapeId="99332" r:id="rId7" name="Check Box 4">
              <controlPr defaultSize="0" autoFill="0" autoLine="0" autoPict="0">
                <anchor moveWithCells="1">
                  <from>
                    <xdr:col>13</xdr:col>
                    <xdr:colOff>190500</xdr:colOff>
                    <xdr:row>15</xdr:row>
                    <xdr:rowOff>47625</xdr:rowOff>
                  </from>
                  <to>
                    <xdr:col>14</xdr:col>
                    <xdr:colOff>200025</xdr:colOff>
                    <xdr:row>15</xdr:row>
                    <xdr:rowOff>257175</xdr:rowOff>
                  </to>
                </anchor>
              </controlPr>
            </control>
          </mc:Choice>
        </mc:AlternateContent>
        <mc:AlternateContent xmlns:mc="http://schemas.openxmlformats.org/markup-compatibility/2006">
          <mc:Choice Requires="x14">
            <control shapeId="99333" r:id="rId8" name="Check Box 5">
              <controlPr defaultSize="0" autoFill="0" autoLine="0" autoPict="0">
                <anchor moveWithCells="1">
                  <from>
                    <xdr:col>13</xdr:col>
                    <xdr:colOff>190500</xdr:colOff>
                    <xdr:row>16</xdr:row>
                    <xdr:rowOff>47625</xdr:rowOff>
                  </from>
                  <to>
                    <xdr:col>14</xdr:col>
                    <xdr:colOff>200025</xdr:colOff>
                    <xdr:row>16</xdr:row>
                    <xdr:rowOff>257175</xdr:rowOff>
                  </to>
                </anchor>
              </controlPr>
            </control>
          </mc:Choice>
        </mc:AlternateContent>
        <mc:AlternateContent xmlns:mc="http://schemas.openxmlformats.org/markup-compatibility/2006">
          <mc:Choice Requires="x14">
            <control shapeId="99334" r:id="rId9" name="Check Box 6">
              <controlPr defaultSize="0" autoFill="0" autoLine="0" autoPict="0">
                <anchor moveWithCells="1">
                  <from>
                    <xdr:col>13</xdr:col>
                    <xdr:colOff>190500</xdr:colOff>
                    <xdr:row>17</xdr:row>
                    <xdr:rowOff>47625</xdr:rowOff>
                  </from>
                  <to>
                    <xdr:col>14</xdr:col>
                    <xdr:colOff>200025</xdr:colOff>
                    <xdr:row>17</xdr:row>
                    <xdr:rowOff>257175</xdr:rowOff>
                  </to>
                </anchor>
              </controlPr>
            </control>
          </mc:Choice>
        </mc:AlternateContent>
        <mc:AlternateContent xmlns:mc="http://schemas.openxmlformats.org/markup-compatibility/2006">
          <mc:Choice Requires="x14">
            <control shapeId="99335" r:id="rId10" name="Check Box 7">
              <controlPr defaultSize="0" autoFill="0" autoLine="0" autoPict="0">
                <anchor moveWithCells="1">
                  <from>
                    <xdr:col>13</xdr:col>
                    <xdr:colOff>190500</xdr:colOff>
                    <xdr:row>18</xdr:row>
                    <xdr:rowOff>47625</xdr:rowOff>
                  </from>
                  <to>
                    <xdr:col>14</xdr:col>
                    <xdr:colOff>200025</xdr:colOff>
                    <xdr:row>18</xdr:row>
                    <xdr:rowOff>257175</xdr:rowOff>
                  </to>
                </anchor>
              </controlPr>
            </control>
          </mc:Choice>
        </mc:AlternateContent>
        <mc:AlternateContent xmlns:mc="http://schemas.openxmlformats.org/markup-compatibility/2006">
          <mc:Choice Requires="x14">
            <control shapeId="99336" r:id="rId11" name="Check Box 8">
              <controlPr defaultSize="0" autoFill="0" autoLine="0" autoPict="0">
                <anchor moveWithCells="1">
                  <from>
                    <xdr:col>13</xdr:col>
                    <xdr:colOff>190500</xdr:colOff>
                    <xdr:row>9</xdr:row>
                    <xdr:rowOff>47625</xdr:rowOff>
                  </from>
                  <to>
                    <xdr:col>14</xdr:col>
                    <xdr:colOff>200025</xdr:colOff>
                    <xdr:row>9</xdr:row>
                    <xdr:rowOff>257175</xdr:rowOff>
                  </to>
                </anchor>
              </controlPr>
            </control>
          </mc:Choice>
        </mc:AlternateContent>
        <mc:AlternateContent xmlns:mc="http://schemas.openxmlformats.org/markup-compatibility/2006">
          <mc:Choice Requires="x14">
            <control shapeId="99337" r:id="rId12" name="Check Box 9">
              <controlPr defaultSize="0" autoFill="0" autoLine="0" autoPict="0">
                <anchor moveWithCells="1">
                  <from>
                    <xdr:col>13</xdr:col>
                    <xdr:colOff>190500</xdr:colOff>
                    <xdr:row>10</xdr:row>
                    <xdr:rowOff>47625</xdr:rowOff>
                  </from>
                  <to>
                    <xdr:col>14</xdr:col>
                    <xdr:colOff>200025</xdr:colOff>
                    <xdr:row>10</xdr:row>
                    <xdr:rowOff>257175</xdr:rowOff>
                  </to>
                </anchor>
              </controlPr>
            </control>
          </mc:Choice>
        </mc:AlternateContent>
        <mc:AlternateContent xmlns:mc="http://schemas.openxmlformats.org/markup-compatibility/2006">
          <mc:Choice Requires="x14">
            <control shapeId="99338" r:id="rId13" name="Check Box 10">
              <controlPr defaultSize="0" autoFill="0" autoLine="0" autoPict="0">
                <anchor moveWithCells="1">
                  <from>
                    <xdr:col>13</xdr:col>
                    <xdr:colOff>190500</xdr:colOff>
                    <xdr:row>13</xdr:row>
                    <xdr:rowOff>47625</xdr:rowOff>
                  </from>
                  <to>
                    <xdr:col>14</xdr:col>
                    <xdr:colOff>200025</xdr:colOff>
                    <xdr:row>13</xdr:row>
                    <xdr:rowOff>257175</xdr:rowOff>
                  </to>
                </anchor>
              </controlPr>
            </control>
          </mc:Choice>
        </mc:AlternateContent>
        <mc:AlternateContent xmlns:mc="http://schemas.openxmlformats.org/markup-compatibility/2006">
          <mc:Choice Requires="x14">
            <control shapeId="99350" r:id="rId14" name="Check Box 22">
              <controlPr defaultSize="0" autoFill="0" autoLine="0" autoPict="0">
                <anchor moveWithCells="1">
                  <from>
                    <xdr:col>19</xdr:col>
                    <xdr:colOff>190500</xdr:colOff>
                    <xdr:row>32</xdr:row>
                    <xdr:rowOff>47625</xdr:rowOff>
                  </from>
                  <to>
                    <xdr:col>20</xdr:col>
                    <xdr:colOff>200025</xdr:colOff>
                    <xdr:row>32</xdr:row>
                    <xdr:rowOff>257175</xdr:rowOff>
                  </to>
                </anchor>
              </controlPr>
            </control>
          </mc:Choice>
        </mc:AlternateContent>
        <mc:AlternateContent xmlns:mc="http://schemas.openxmlformats.org/markup-compatibility/2006">
          <mc:Choice Requires="x14">
            <control shapeId="99351" r:id="rId15" name="Check Box 23">
              <controlPr defaultSize="0" autoFill="0" autoLine="0" autoPict="0">
                <anchor moveWithCells="1">
                  <from>
                    <xdr:col>19</xdr:col>
                    <xdr:colOff>190500</xdr:colOff>
                    <xdr:row>35</xdr:row>
                    <xdr:rowOff>47625</xdr:rowOff>
                  </from>
                  <to>
                    <xdr:col>20</xdr:col>
                    <xdr:colOff>200025</xdr:colOff>
                    <xdr:row>35</xdr:row>
                    <xdr:rowOff>257175</xdr:rowOff>
                  </to>
                </anchor>
              </controlPr>
            </control>
          </mc:Choice>
        </mc:AlternateContent>
        <mc:AlternateContent xmlns:mc="http://schemas.openxmlformats.org/markup-compatibility/2006">
          <mc:Choice Requires="x14">
            <control shapeId="99352" r:id="rId16" name="Check Box 24">
              <controlPr defaultSize="0" autoFill="0" autoLine="0" autoPict="0">
                <anchor moveWithCells="1">
                  <from>
                    <xdr:col>19</xdr:col>
                    <xdr:colOff>190500</xdr:colOff>
                    <xdr:row>36</xdr:row>
                    <xdr:rowOff>47625</xdr:rowOff>
                  </from>
                  <to>
                    <xdr:col>20</xdr:col>
                    <xdr:colOff>200025</xdr:colOff>
                    <xdr:row>36</xdr:row>
                    <xdr:rowOff>257175</xdr:rowOff>
                  </to>
                </anchor>
              </controlPr>
            </control>
          </mc:Choice>
        </mc:AlternateContent>
        <mc:AlternateContent xmlns:mc="http://schemas.openxmlformats.org/markup-compatibility/2006">
          <mc:Choice Requires="x14">
            <control shapeId="99362" r:id="rId17" name="Check Box 34">
              <controlPr defaultSize="0" autoFill="0" autoLine="0" autoPict="0">
                <anchor moveWithCells="1">
                  <from>
                    <xdr:col>13</xdr:col>
                    <xdr:colOff>190500</xdr:colOff>
                    <xdr:row>11</xdr:row>
                    <xdr:rowOff>47625</xdr:rowOff>
                  </from>
                  <to>
                    <xdr:col>14</xdr:col>
                    <xdr:colOff>200025</xdr:colOff>
                    <xdr:row>11</xdr:row>
                    <xdr:rowOff>257175</xdr:rowOff>
                  </to>
                </anchor>
              </controlPr>
            </control>
          </mc:Choice>
        </mc:AlternateContent>
        <mc:AlternateContent xmlns:mc="http://schemas.openxmlformats.org/markup-compatibility/2006">
          <mc:Choice Requires="x14">
            <control shapeId="99363" r:id="rId18" name="Check Box 35">
              <controlPr defaultSize="0" autoFill="0" autoLine="0" autoPict="0">
                <anchor moveWithCells="1">
                  <from>
                    <xdr:col>13</xdr:col>
                    <xdr:colOff>190500</xdr:colOff>
                    <xdr:row>12</xdr:row>
                    <xdr:rowOff>47625</xdr:rowOff>
                  </from>
                  <to>
                    <xdr:col>14</xdr:col>
                    <xdr:colOff>200025</xdr:colOff>
                    <xdr:row>12</xdr:row>
                    <xdr:rowOff>257175</xdr:rowOff>
                  </to>
                </anchor>
              </controlPr>
            </control>
          </mc:Choice>
        </mc:AlternateContent>
        <mc:AlternateContent xmlns:mc="http://schemas.openxmlformats.org/markup-compatibility/2006">
          <mc:Choice Requires="x14">
            <control shapeId="99365" r:id="rId19" name="Check Box 37">
              <controlPr defaultSize="0" autoFill="0" autoLine="0" autoPict="0">
                <anchor moveWithCells="1">
                  <from>
                    <xdr:col>19</xdr:col>
                    <xdr:colOff>190500</xdr:colOff>
                    <xdr:row>33</xdr:row>
                    <xdr:rowOff>47625</xdr:rowOff>
                  </from>
                  <to>
                    <xdr:col>20</xdr:col>
                    <xdr:colOff>200025</xdr:colOff>
                    <xdr:row>33</xdr:row>
                    <xdr:rowOff>257175</xdr:rowOff>
                  </to>
                </anchor>
              </controlPr>
            </control>
          </mc:Choice>
        </mc:AlternateContent>
        <mc:AlternateContent xmlns:mc="http://schemas.openxmlformats.org/markup-compatibility/2006">
          <mc:Choice Requires="x14">
            <control shapeId="99366" r:id="rId20" name="Check Box 38">
              <controlPr defaultSize="0" autoFill="0" autoLine="0" autoPict="0">
                <anchor moveWithCells="1">
                  <from>
                    <xdr:col>19</xdr:col>
                    <xdr:colOff>190500</xdr:colOff>
                    <xdr:row>34</xdr:row>
                    <xdr:rowOff>47625</xdr:rowOff>
                  </from>
                  <to>
                    <xdr:col>20</xdr:col>
                    <xdr:colOff>200025</xdr:colOff>
                    <xdr:row>34</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B1:AO106"/>
  <sheetViews>
    <sheetView showGridLines="0" view="pageBreakPreview" zoomScaleNormal="100" zoomScaleSheetLayoutView="100" workbookViewId="0">
      <selection activeCell="J8" sqref="J8:K10"/>
    </sheetView>
  </sheetViews>
  <sheetFormatPr defaultRowHeight="13.5"/>
  <cols>
    <col min="1" max="1" width="0.875" style="52" customWidth="1"/>
    <col min="2" max="29" width="3.875" style="52" customWidth="1"/>
    <col min="30" max="31" width="10.625" style="52" hidden="1" customWidth="1"/>
    <col min="32" max="32" width="2.625" style="52" hidden="1" customWidth="1"/>
    <col min="33" max="35" width="10.625" style="52" hidden="1" customWidth="1"/>
    <col min="36" max="36" width="2.625" style="52" hidden="1" customWidth="1"/>
    <col min="37" max="38" width="15.625" style="52" hidden="1" customWidth="1"/>
    <col min="39" max="39" width="2.625" style="52" hidden="1" customWidth="1"/>
    <col min="40" max="41" width="10.625" style="52" hidden="1" customWidth="1"/>
    <col min="42" max="43" width="3.625" style="52" customWidth="1"/>
    <col min="44" max="49" width="4.625" style="52" customWidth="1"/>
    <col min="50" max="16384" width="9" style="52"/>
  </cols>
  <sheetData>
    <row r="1" spans="2:41" ht="3.95" customHeight="1"/>
    <row r="2" spans="2:41" s="36" customFormat="1" ht="30" customHeight="1">
      <c r="B2" s="447" t="s">
        <v>114</v>
      </c>
      <c r="C2" s="447"/>
      <c r="D2" s="447"/>
      <c r="E2" s="447"/>
      <c r="F2" s="447"/>
      <c r="G2" s="447"/>
      <c r="H2" s="447"/>
      <c r="I2" s="447"/>
      <c r="J2" s="447"/>
      <c r="K2" s="447"/>
      <c r="L2" s="447"/>
      <c r="M2" s="447"/>
      <c r="N2" s="447"/>
      <c r="O2" s="447"/>
      <c r="P2" s="447"/>
      <c r="Q2" s="447"/>
      <c r="R2" s="447"/>
      <c r="S2" s="447"/>
      <c r="T2" s="447"/>
      <c r="U2" s="447"/>
      <c r="V2" s="447"/>
      <c r="W2" s="447"/>
      <c r="X2" s="447"/>
      <c r="Y2" s="447"/>
      <c r="Z2" s="447"/>
      <c r="AA2" s="447"/>
    </row>
    <row r="3" spans="2:41" s="37" customFormat="1" ht="24.95" customHeight="1" thickBot="1"/>
    <row r="4" spans="2:41" s="37" customFormat="1" ht="21.95" customHeight="1" thickBot="1">
      <c r="B4" s="38" t="s">
        <v>5</v>
      </c>
      <c r="R4" s="448" t="s">
        <v>35</v>
      </c>
      <c r="S4" s="449"/>
      <c r="T4" s="449"/>
      <c r="U4" s="450"/>
      <c r="V4" s="502">
        <f>IF(共通条件・結果!AA7="８地域","0.505",IF(共通条件・結果!AA7="７地域",0.495,IF(共通条件・結果!AA7="６地域",0.504,IF(共通条件・結果!AA7="５地域",0.518,IF(共通条件・結果!AA7="４地域",0.481,IF(共通条件・結果!AA7="３地域",0.553,IF(共通条件・結果!AA7="２地域",0.529,IF(共通条件・結果!AA7="１地域",0.508))))))))</f>
        <v>0.504</v>
      </c>
      <c r="W4" s="503"/>
      <c r="X4" s="502">
        <f>IF(共通条件・結果!AA7="８地域","-",IF(共通条件・結果!AA7="７地域",0.548,IF(共通条件・結果!AA7="６地域",0.523,IF(共通条件・結果!AA7="５地域",0.538,IF(共通条件・結果!AA7="４地域",0.527,IF(共通条件・結果!AA7="３地域",0.542,IF(共通条件・結果!AA7="２地域",0.544,IF(共通条件・結果!AA7="１地域",0.535))))))))</f>
        <v>0.52300000000000002</v>
      </c>
      <c r="Y4" s="503"/>
    </row>
    <row r="5" spans="2:41" s="37" customFormat="1" ht="21.95" customHeight="1">
      <c r="B5" s="453" t="s">
        <v>6</v>
      </c>
      <c r="C5" s="361"/>
      <c r="D5" s="361" t="s">
        <v>91</v>
      </c>
      <c r="E5" s="361"/>
      <c r="F5" s="361"/>
      <c r="G5" s="361"/>
      <c r="H5" s="361" t="s">
        <v>7</v>
      </c>
      <c r="I5" s="361"/>
      <c r="J5" s="360" t="s">
        <v>99</v>
      </c>
      <c r="K5" s="361"/>
      <c r="L5" s="360" t="s">
        <v>10</v>
      </c>
      <c r="M5" s="361"/>
      <c r="N5" s="456" t="s">
        <v>71</v>
      </c>
      <c r="O5" s="457"/>
      <c r="P5" s="457"/>
      <c r="Q5" s="457"/>
      <c r="R5" s="457"/>
      <c r="S5" s="457"/>
      <c r="T5" s="457"/>
      <c r="U5" s="457"/>
      <c r="V5" s="360" t="s">
        <v>66</v>
      </c>
      <c r="W5" s="361"/>
      <c r="X5" s="360" t="s">
        <v>67</v>
      </c>
      <c r="Y5" s="361"/>
      <c r="Z5" s="361" t="s">
        <v>13</v>
      </c>
      <c r="AA5" s="363"/>
    </row>
    <row r="6" spans="2:41" s="37" customFormat="1" ht="21.95" customHeight="1">
      <c r="B6" s="454"/>
      <c r="C6" s="443"/>
      <c r="D6" s="469" t="s">
        <v>9</v>
      </c>
      <c r="E6" s="470"/>
      <c r="F6" s="473" t="s">
        <v>8</v>
      </c>
      <c r="G6" s="474"/>
      <c r="H6" s="443"/>
      <c r="I6" s="443"/>
      <c r="J6" s="442"/>
      <c r="K6" s="443"/>
      <c r="L6" s="442"/>
      <c r="M6" s="443"/>
      <c r="N6" s="476" t="s">
        <v>69</v>
      </c>
      <c r="O6" s="477"/>
      <c r="P6" s="479" t="s">
        <v>70</v>
      </c>
      <c r="Q6" s="480"/>
      <c r="R6" s="480"/>
      <c r="S6" s="480"/>
      <c r="T6" s="480"/>
      <c r="U6" s="481"/>
      <c r="V6" s="442"/>
      <c r="W6" s="443"/>
      <c r="X6" s="442"/>
      <c r="Y6" s="443"/>
      <c r="Z6" s="443"/>
      <c r="AA6" s="444"/>
      <c r="AD6" s="401" t="s">
        <v>74</v>
      </c>
      <c r="AE6" s="401"/>
      <c r="AF6" s="39"/>
      <c r="AG6" s="39"/>
      <c r="AH6" s="401" t="s">
        <v>14</v>
      </c>
      <c r="AI6" s="401"/>
      <c r="AJ6" s="39"/>
      <c r="AK6" s="401" t="s">
        <v>75</v>
      </c>
      <c r="AL6" s="401"/>
      <c r="AN6" s="401" t="s">
        <v>89</v>
      </c>
      <c r="AO6" s="401"/>
    </row>
    <row r="7" spans="2:41" s="37" customFormat="1" ht="21.95" customHeight="1" thickBot="1">
      <c r="B7" s="455"/>
      <c r="C7" s="362"/>
      <c r="D7" s="471"/>
      <c r="E7" s="472"/>
      <c r="F7" s="475"/>
      <c r="G7" s="438"/>
      <c r="H7" s="362"/>
      <c r="I7" s="362"/>
      <c r="J7" s="362"/>
      <c r="K7" s="362"/>
      <c r="L7" s="362"/>
      <c r="M7" s="362"/>
      <c r="N7" s="378"/>
      <c r="O7" s="478"/>
      <c r="P7" s="438" t="s">
        <v>11</v>
      </c>
      <c r="Q7" s="439"/>
      <c r="R7" s="440" t="s">
        <v>12</v>
      </c>
      <c r="S7" s="441"/>
      <c r="T7" s="438" t="s">
        <v>3</v>
      </c>
      <c r="U7" s="439"/>
      <c r="V7" s="362"/>
      <c r="W7" s="362"/>
      <c r="X7" s="362"/>
      <c r="Y7" s="362"/>
      <c r="Z7" s="362"/>
      <c r="AA7" s="364"/>
      <c r="AD7" s="39" t="s">
        <v>4</v>
      </c>
      <c r="AE7" s="39" t="s">
        <v>18</v>
      </c>
      <c r="AF7" s="39"/>
      <c r="AG7" s="39"/>
      <c r="AH7" s="39" t="s">
        <v>4</v>
      </c>
      <c r="AI7" s="39" t="s">
        <v>18</v>
      </c>
      <c r="AJ7" s="39"/>
      <c r="AK7" s="39" t="s">
        <v>4</v>
      </c>
      <c r="AL7" s="39" t="s">
        <v>18</v>
      </c>
      <c r="AN7" s="97" t="s">
        <v>87</v>
      </c>
      <c r="AO7" s="37" t="s">
        <v>85</v>
      </c>
    </row>
    <row r="8" spans="2:41" s="37" customFormat="1" ht="21.95" customHeight="1">
      <c r="B8" s="433"/>
      <c r="C8" s="434"/>
      <c r="D8" s="435">
        <v>0.6</v>
      </c>
      <c r="E8" s="436"/>
      <c r="F8" s="436">
        <v>0.9</v>
      </c>
      <c r="G8" s="437"/>
      <c r="H8" s="392">
        <v>3.49</v>
      </c>
      <c r="I8" s="392"/>
      <c r="J8" s="392">
        <v>0.46</v>
      </c>
      <c r="K8" s="392"/>
      <c r="L8" s="410"/>
      <c r="M8" s="410"/>
      <c r="N8" s="482"/>
      <c r="O8" s="483"/>
      <c r="P8" s="461"/>
      <c r="Q8" s="484"/>
      <c r="R8" s="458"/>
      <c r="S8" s="459"/>
      <c r="T8" s="460"/>
      <c r="U8" s="461"/>
      <c r="V8" s="462">
        <f>IF(D8="","",AD8)</f>
        <v>0.11643004800000002</v>
      </c>
      <c r="W8" s="462"/>
      <c r="X8" s="462">
        <f t="shared" ref="X8:X19" si="0">IF(D8="","",IF(ISERROR(AE8),"-",AE8))</f>
        <v>6.6255732000000025E-2</v>
      </c>
      <c r="Y8" s="462"/>
      <c r="Z8" s="462">
        <f>IF(D8="","",D8*F8*AN8)</f>
        <v>1.8846000000000003</v>
      </c>
      <c r="AA8" s="463"/>
      <c r="AD8" s="37">
        <f>D8*F8*J8*$V$4*AH8</f>
        <v>0.11643004800000002</v>
      </c>
      <c r="AE8" s="37">
        <f>D8*F8*J8*$X$4*AI8</f>
        <v>6.6255732000000025E-2</v>
      </c>
      <c r="AG8" s="40" t="b">
        <v>1</v>
      </c>
      <c r="AH8" s="37" t="str">
        <f>IF(AG8=TRUE,"0.93",IF(ISERROR(AK8),"エラー",IF(AK8&gt;0.93,"0.93",AK8)))</f>
        <v>0.93</v>
      </c>
      <c r="AI8" s="37" t="str">
        <f>IF(AG8=TRUE,"0.51",IF(ISERROR(AL8),"エラー",IF(AL8&gt;0.72,"0.72",AL8)))</f>
        <v>0.51</v>
      </c>
      <c r="AK8" s="37" t="e">
        <f>0.01*(16+24*(2*R8+T8)/P8)</f>
        <v>#DIV/0!</v>
      </c>
      <c r="AL8" s="37" t="e">
        <f>0.01*(10+15*(2*R8+T8)/P8)</f>
        <v>#DIV/0!</v>
      </c>
      <c r="AN8" s="37">
        <f>IF(共通条件・結果!$AA$7="８地域",H8,IF(AO8="FALSE",H8,IF(L8="風除室",1/((1/H8)+0.1),0.5*H8+0.5*(1/((1/H8)+AO8)))))</f>
        <v>3.49</v>
      </c>
      <c r="AO8" s="39" t="str">
        <f t="shared" ref="AO8:AO19" si="1">IF(L8="","FALSE",IF(L8="雨戸",0.1,IF(L8="ｼｬｯﾀｰ",0.1,IF(L8="障子",0.18,IF(L8="風除室",0.1)))))</f>
        <v>FALSE</v>
      </c>
    </row>
    <row r="9" spans="2:41" s="37" customFormat="1" ht="21.95" customHeight="1">
      <c r="B9" s="419"/>
      <c r="C9" s="420"/>
      <c r="D9" s="421">
        <v>0.9</v>
      </c>
      <c r="E9" s="422"/>
      <c r="F9" s="422">
        <v>1.1000000000000001</v>
      </c>
      <c r="G9" s="423"/>
      <c r="H9" s="370">
        <v>3.49</v>
      </c>
      <c r="I9" s="370"/>
      <c r="J9" s="370">
        <v>0.46</v>
      </c>
      <c r="K9" s="370"/>
      <c r="L9" s="398" t="s">
        <v>65</v>
      </c>
      <c r="M9" s="398"/>
      <c r="N9" s="428"/>
      <c r="O9" s="429"/>
      <c r="P9" s="427"/>
      <c r="Q9" s="430"/>
      <c r="R9" s="424"/>
      <c r="S9" s="425"/>
      <c r="T9" s="426"/>
      <c r="U9" s="427"/>
      <c r="V9" s="358">
        <f t="shared" ref="V9:V19" si="2">IF(D9="","",AD9)</f>
        <v>0.21345508800000004</v>
      </c>
      <c r="W9" s="358"/>
      <c r="X9" s="358">
        <f t="shared" si="0"/>
        <v>0.12146884200000004</v>
      </c>
      <c r="Y9" s="358"/>
      <c r="Z9" s="358">
        <f t="shared" ref="Z9:Z19" si="3">IF(D9="","",D9*F9*AN9)</f>
        <v>3.4551000000000007</v>
      </c>
      <c r="AA9" s="359"/>
      <c r="AD9" s="37">
        <f t="shared" ref="AD9:AD19" si="4">D9*F9*J9*$V$4*AH9</f>
        <v>0.21345508800000004</v>
      </c>
      <c r="AE9" s="37">
        <f t="shared" ref="AE9:AE19" si="5">D9*F9*J9*$X$4*AI9</f>
        <v>0.12146884200000004</v>
      </c>
      <c r="AG9" s="40" t="b">
        <v>1</v>
      </c>
      <c r="AH9" s="37" t="str">
        <f t="shared" ref="AH9:AH19" si="6">IF(AG9=TRUE,"0.93",IF(ISERROR(AK9),"エラー",IF(AK9&gt;0.93,"0.93",AK9)))</f>
        <v>0.93</v>
      </c>
      <c r="AI9" s="37" t="str">
        <f t="shared" ref="AI9:AI19" si="7">IF(AG9=TRUE,"0.51",IF(ISERROR(AL9),"エラー",IF(AL9&gt;0.72,"0.72",AL9)))</f>
        <v>0.51</v>
      </c>
      <c r="AK9" s="37" t="e">
        <f t="shared" ref="AK9:AK19" si="8">0.01*(16+24*(2*R9+T9)/P9)</f>
        <v>#DIV/0!</v>
      </c>
      <c r="AL9" s="37" t="e">
        <f t="shared" ref="AL9:AL19" si="9">0.01*(10+15*(2*R9+T9)/P9)</f>
        <v>#DIV/0!</v>
      </c>
      <c r="AN9" s="37">
        <f>IF(共通条件・結果!$AA$7="８地域",H9,IF(AO9="FALSE",H9,IF(L9="風除室",1/((1/H9)+0.1),0.5*H9+0.5*(1/((1/H9)+AO9)))))</f>
        <v>3.49</v>
      </c>
      <c r="AO9" s="39" t="b">
        <f t="shared" si="1"/>
        <v>0</v>
      </c>
    </row>
    <row r="10" spans="2:41" s="37" customFormat="1" ht="21.95" customHeight="1">
      <c r="B10" s="419"/>
      <c r="C10" s="420"/>
      <c r="D10" s="421">
        <v>0.6</v>
      </c>
      <c r="E10" s="422"/>
      <c r="F10" s="422">
        <v>0.9</v>
      </c>
      <c r="G10" s="423"/>
      <c r="H10" s="370">
        <v>3.49</v>
      </c>
      <c r="I10" s="370"/>
      <c r="J10" s="370">
        <v>0.46</v>
      </c>
      <c r="K10" s="370"/>
      <c r="L10" s="398" t="s">
        <v>65</v>
      </c>
      <c r="M10" s="398"/>
      <c r="N10" s="428"/>
      <c r="O10" s="429"/>
      <c r="P10" s="430"/>
      <c r="Q10" s="432"/>
      <c r="R10" s="431"/>
      <c r="S10" s="432"/>
      <c r="T10" s="431"/>
      <c r="U10" s="426"/>
      <c r="V10" s="358">
        <f t="shared" si="2"/>
        <v>0.11643004800000002</v>
      </c>
      <c r="W10" s="358"/>
      <c r="X10" s="358">
        <f t="shared" si="0"/>
        <v>6.6255732000000025E-2</v>
      </c>
      <c r="Y10" s="358"/>
      <c r="Z10" s="358">
        <f t="shared" si="3"/>
        <v>1.8846000000000003</v>
      </c>
      <c r="AA10" s="359"/>
      <c r="AD10" s="37">
        <f t="shared" si="4"/>
        <v>0.11643004800000002</v>
      </c>
      <c r="AE10" s="37">
        <f t="shared" si="5"/>
        <v>6.6255732000000025E-2</v>
      </c>
      <c r="AG10" s="40" t="b">
        <v>1</v>
      </c>
      <c r="AH10" s="37" t="str">
        <f t="shared" si="6"/>
        <v>0.93</v>
      </c>
      <c r="AI10" s="37" t="str">
        <f t="shared" si="7"/>
        <v>0.51</v>
      </c>
      <c r="AK10" s="37" t="e">
        <f t="shared" si="8"/>
        <v>#DIV/0!</v>
      </c>
      <c r="AL10" s="37" t="e">
        <f t="shared" si="9"/>
        <v>#DIV/0!</v>
      </c>
      <c r="AN10" s="37">
        <f>IF(共通条件・結果!$AA$7="８地域",H10,IF(AO10="FALSE",H10,IF(L10="風除室",1/((1/H10)+0.1),0.5*H10+0.5*(1/((1/H10)+AO10)))))</f>
        <v>3.49</v>
      </c>
      <c r="AO10" s="39" t="b">
        <f t="shared" si="1"/>
        <v>0</v>
      </c>
    </row>
    <row r="11" spans="2:41" s="37" customFormat="1" ht="21.95" customHeight="1">
      <c r="B11" s="419"/>
      <c r="C11" s="420"/>
      <c r="D11" s="421"/>
      <c r="E11" s="422"/>
      <c r="F11" s="422"/>
      <c r="G11" s="423"/>
      <c r="H11" s="370"/>
      <c r="I11" s="370"/>
      <c r="J11" s="370"/>
      <c r="K11" s="370"/>
      <c r="L11" s="398" t="s">
        <v>65</v>
      </c>
      <c r="M11" s="398"/>
      <c r="N11" s="428"/>
      <c r="O11" s="429"/>
      <c r="P11" s="430"/>
      <c r="Q11" s="432"/>
      <c r="R11" s="431"/>
      <c r="S11" s="432"/>
      <c r="T11" s="431"/>
      <c r="U11" s="426"/>
      <c r="V11" s="358" t="str">
        <f t="shared" si="2"/>
        <v/>
      </c>
      <c r="W11" s="358"/>
      <c r="X11" s="358" t="str">
        <f t="shared" si="0"/>
        <v/>
      </c>
      <c r="Y11" s="358"/>
      <c r="Z11" s="358" t="str">
        <f t="shared" si="3"/>
        <v/>
      </c>
      <c r="AA11" s="359"/>
      <c r="AD11" s="37" t="e">
        <f t="shared" si="4"/>
        <v>#VALUE!</v>
      </c>
      <c r="AE11" s="37" t="e">
        <f t="shared" si="5"/>
        <v>#VALUE!</v>
      </c>
      <c r="AG11" s="40" t="b">
        <v>0</v>
      </c>
      <c r="AH11" s="37" t="str">
        <f t="shared" si="6"/>
        <v>エラー</v>
      </c>
      <c r="AI11" s="37" t="str">
        <f t="shared" si="7"/>
        <v>エラー</v>
      </c>
      <c r="AK11" s="37" t="e">
        <f t="shared" si="8"/>
        <v>#DIV/0!</v>
      </c>
      <c r="AL11" s="37" t="e">
        <f t="shared" si="9"/>
        <v>#DIV/0!</v>
      </c>
      <c r="AN11" s="37" t="e">
        <f>IF(共通条件・結果!$AA$7="８地域",H11,IF(AO11="FALSE",H11,IF(L11="風除室",1/((1/H11)+0.1),0.5*H11+0.5*(1/((1/H11)+AO11)))))</f>
        <v>#DIV/0!</v>
      </c>
      <c r="AO11" s="39" t="b">
        <f t="shared" si="1"/>
        <v>0</v>
      </c>
    </row>
    <row r="12" spans="2:41" s="37" customFormat="1" ht="21.95" customHeight="1">
      <c r="B12" s="419"/>
      <c r="C12" s="445"/>
      <c r="D12" s="488"/>
      <c r="E12" s="492"/>
      <c r="F12" s="493"/>
      <c r="G12" s="489"/>
      <c r="H12" s="488"/>
      <c r="I12" s="489"/>
      <c r="J12" s="488"/>
      <c r="K12" s="489"/>
      <c r="L12" s="495"/>
      <c r="M12" s="496"/>
      <c r="N12" s="428"/>
      <c r="O12" s="497"/>
      <c r="P12" s="430"/>
      <c r="Q12" s="432"/>
      <c r="R12" s="431"/>
      <c r="S12" s="432"/>
      <c r="T12" s="431"/>
      <c r="U12" s="426"/>
      <c r="V12" s="356" t="str">
        <f t="shared" ref="V12:V13" si="10">IF(D12="","",AD12)</f>
        <v/>
      </c>
      <c r="W12" s="357"/>
      <c r="X12" s="356" t="str">
        <f t="shared" ref="X12:X13" si="11">IF(D12="","",IF(ISERROR(AE12),"-",AE12))</f>
        <v/>
      </c>
      <c r="Y12" s="357"/>
      <c r="Z12" s="356" t="str">
        <f t="shared" ref="Z12:Z13" si="12">IF(D12="","",D12*F12*AN12)</f>
        <v/>
      </c>
      <c r="AA12" s="375"/>
      <c r="AD12" s="37" t="e">
        <f t="shared" ref="AD12:AD13" si="13">D12*F12*J12*$V$4*AH12</f>
        <v>#VALUE!</v>
      </c>
      <c r="AE12" s="37" t="e">
        <f t="shared" ref="AE12:AE13" si="14">D12*F12*J12*$X$4*AI12</f>
        <v>#VALUE!</v>
      </c>
      <c r="AG12" s="40" t="b">
        <v>0</v>
      </c>
      <c r="AH12" s="37" t="str">
        <f t="shared" ref="AH12:AH13" si="15">IF(AG12=TRUE,"0.93",IF(ISERROR(AK12),"エラー",IF(AK12&gt;0.93,"0.93",AK12)))</f>
        <v>エラー</v>
      </c>
      <c r="AI12" s="37" t="str">
        <f t="shared" ref="AI12:AI13" si="16">IF(AG12=TRUE,"0.51",IF(ISERROR(AL12),"エラー",IF(AL12&gt;0.72,"0.72",AL12)))</f>
        <v>エラー</v>
      </c>
      <c r="AK12" s="37" t="e">
        <f t="shared" ref="AK12:AK13" si="17">0.01*(16+24*(2*R12+T12)/P12)</f>
        <v>#DIV/0!</v>
      </c>
      <c r="AL12" s="37" t="e">
        <f t="shared" ref="AL12:AL13" si="18">0.01*(10+15*(2*R12+T12)/P12)</f>
        <v>#DIV/0!</v>
      </c>
      <c r="AN12" s="37">
        <f>IF(共通条件・結果!$AA$7="８地域",H12,IF(AO12="FALSE",H12,IF(L12="風除室",1/((1/H12)+0.1),0.5*H12+0.5*(1/((1/H12)+AO12)))))</f>
        <v>0</v>
      </c>
      <c r="AO12" s="95" t="str">
        <f t="shared" ref="AO12:AO13" si="19">IF(L12="","FALSE",IF(L12="雨戸",0.1,IF(L12="ｼｬｯﾀｰ",0.1,IF(L12="障子",0.18,IF(L12="風除室",0.1)))))</f>
        <v>FALSE</v>
      </c>
    </row>
    <row r="13" spans="2:41" s="37" customFormat="1" ht="21.95" customHeight="1">
      <c r="B13" s="419"/>
      <c r="C13" s="420"/>
      <c r="D13" s="488"/>
      <c r="E13" s="492"/>
      <c r="F13" s="493"/>
      <c r="G13" s="489"/>
      <c r="H13" s="488"/>
      <c r="I13" s="489"/>
      <c r="J13" s="488"/>
      <c r="K13" s="489"/>
      <c r="L13" s="495"/>
      <c r="M13" s="496"/>
      <c r="N13" s="428"/>
      <c r="O13" s="497"/>
      <c r="P13" s="430"/>
      <c r="Q13" s="432"/>
      <c r="R13" s="431"/>
      <c r="S13" s="432"/>
      <c r="T13" s="431"/>
      <c r="U13" s="426"/>
      <c r="V13" s="356" t="str">
        <f t="shared" si="10"/>
        <v/>
      </c>
      <c r="W13" s="357"/>
      <c r="X13" s="356" t="str">
        <f t="shared" si="11"/>
        <v/>
      </c>
      <c r="Y13" s="357"/>
      <c r="Z13" s="356" t="str">
        <f t="shared" si="12"/>
        <v/>
      </c>
      <c r="AA13" s="375"/>
      <c r="AD13" s="37" t="e">
        <f t="shared" si="13"/>
        <v>#VALUE!</v>
      </c>
      <c r="AE13" s="37" t="e">
        <f t="shared" si="14"/>
        <v>#VALUE!</v>
      </c>
      <c r="AG13" s="40" t="b">
        <v>0</v>
      </c>
      <c r="AH13" s="37" t="str">
        <f t="shared" si="15"/>
        <v>エラー</v>
      </c>
      <c r="AI13" s="37" t="str">
        <f t="shared" si="16"/>
        <v>エラー</v>
      </c>
      <c r="AK13" s="37" t="e">
        <f t="shared" si="17"/>
        <v>#DIV/0!</v>
      </c>
      <c r="AL13" s="37" t="e">
        <f t="shared" si="18"/>
        <v>#DIV/0!</v>
      </c>
      <c r="AN13" s="37">
        <f>IF(共通条件・結果!$AA$7="８地域",H13,IF(AO13="FALSE",H13,IF(L13="風除室",1/((1/H13)+0.1),0.5*H13+0.5*(1/((1/H13)+AO13)))))</f>
        <v>0</v>
      </c>
      <c r="AO13" s="95" t="str">
        <f t="shared" si="19"/>
        <v>FALSE</v>
      </c>
    </row>
    <row r="14" spans="2:41" s="37" customFormat="1" ht="21.95" customHeight="1">
      <c r="B14" s="419"/>
      <c r="C14" s="445"/>
      <c r="D14" s="421"/>
      <c r="E14" s="422"/>
      <c r="F14" s="422"/>
      <c r="G14" s="423"/>
      <c r="H14" s="370"/>
      <c r="I14" s="370"/>
      <c r="J14" s="370"/>
      <c r="K14" s="370"/>
      <c r="L14" s="398" t="s">
        <v>65</v>
      </c>
      <c r="M14" s="398"/>
      <c r="N14" s="428"/>
      <c r="O14" s="429"/>
      <c r="P14" s="430"/>
      <c r="Q14" s="432"/>
      <c r="R14" s="431"/>
      <c r="S14" s="432"/>
      <c r="T14" s="431"/>
      <c r="U14" s="426"/>
      <c r="V14" s="358" t="str">
        <f t="shared" si="2"/>
        <v/>
      </c>
      <c r="W14" s="358"/>
      <c r="X14" s="358" t="str">
        <f t="shared" si="0"/>
        <v/>
      </c>
      <c r="Y14" s="358"/>
      <c r="Z14" s="358" t="str">
        <f t="shared" si="3"/>
        <v/>
      </c>
      <c r="AA14" s="359"/>
      <c r="AD14" s="37" t="e">
        <f t="shared" si="4"/>
        <v>#VALUE!</v>
      </c>
      <c r="AE14" s="37" t="e">
        <f t="shared" si="5"/>
        <v>#VALUE!</v>
      </c>
      <c r="AG14" s="40" t="b">
        <v>0</v>
      </c>
      <c r="AH14" s="37" t="str">
        <f t="shared" si="6"/>
        <v>エラー</v>
      </c>
      <c r="AI14" s="37" t="str">
        <f t="shared" si="7"/>
        <v>エラー</v>
      </c>
      <c r="AK14" s="37" t="e">
        <f t="shared" si="8"/>
        <v>#DIV/0!</v>
      </c>
      <c r="AL14" s="37" t="e">
        <f t="shared" si="9"/>
        <v>#DIV/0!</v>
      </c>
      <c r="AN14" s="37" t="e">
        <f>IF(共通条件・結果!$AA$7="８地域",H14,IF(AO14="FALSE",H14,IF(L14="風除室",1/((1/H14)+0.1),0.5*H14+0.5*(1/((1/H14)+AO14)))))</f>
        <v>#DIV/0!</v>
      </c>
      <c r="AO14" s="39" t="b">
        <f t="shared" si="1"/>
        <v>0</v>
      </c>
    </row>
    <row r="15" spans="2:41" s="37" customFormat="1" ht="21.95" customHeight="1">
      <c r="B15" s="419"/>
      <c r="C15" s="420"/>
      <c r="D15" s="421"/>
      <c r="E15" s="422"/>
      <c r="F15" s="422"/>
      <c r="G15" s="423"/>
      <c r="H15" s="370"/>
      <c r="I15" s="370"/>
      <c r="J15" s="370"/>
      <c r="K15" s="370"/>
      <c r="L15" s="398" t="s">
        <v>65</v>
      </c>
      <c r="M15" s="398"/>
      <c r="N15" s="428"/>
      <c r="O15" s="429"/>
      <c r="P15" s="430"/>
      <c r="Q15" s="432"/>
      <c r="R15" s="431"/>
      <c r="S15" s="432"/>
      <c r="T15" s="431"/>
      <c r="U15" s="426"/>
      <c r="V15" s="356" t="str">
        <f t="shared" si="2"/>
        <v/>
      </c>
      <c r="W15" s="357"/>
      <c r="X15" s="358" t="str">
        <f t="shared" si="0"/>
        <v/>
      </c>
      <c r="Y15" s="358"/>
      <c r="Z15" s="358" t="str">
        <f t="shared" si="3"/>
        <v/>
      </c>
      <c r="AA15" s="359"/>
      <c r="AD15" s="37" t="e">
        <f t="shared" si="4"/>
        <v>#VALUE!</v>
      </c>
      <c r="AE15" s="37" t="e">
        <f t="shared" si="5"/>
        <v>#VALUE!</v>
      </c>
      <c r="AG15" s="40" t="b">
        <v>0</v>
      </c>
      <c r="AH15" s="37" t="str">
        <f t="shared" si="6"/>
        <v>エラー</v>
      </c>
      <c r="AI15" s="37" t="str">
        <f t="shared" si="7"/>
        <v>エラー</v>
      </c>
      <c r="AK15" s="37" t="e">
        <f t="shared" si="8"/>
        <v>#DIV/0!</v>
      </c>
      <c r="AL15" s="37" t="e">
        <f t="shared" si="9"/>
        <v>#DIV/0!</v>
      </c>
      <c r="AN15" s="37" t="e">
        <f>IF(共通条件・結果!$AA$7="８地域",H15,IF(AO15="FALSE",H15,IF(L15="風除室",1/((1/H15)+0.1),0.5*H15+0.5*(1/((1/H15)+AO15)))))</f>
        <v>#DIV/0!</v>
      </c>
      <c r="AO15" s="39" t="b">
        <f t="shared" si="1"/>
        <v>0</v>
      </c>
    </row>
    <row r="16" spans="2:41" s="37" customFormat="1" ht="21.95" customHeight="1">
      <c r="B16" s="419"/>
      <c r="C16" s="445"/>
      <c r="D16" s="421"/>
      <c r="E16" s="422"/>
      <c r="F16" s="422"/>
      <c r="G16" s="423"/>
      <c r="H16" s="370"/>
      <c r="I16" s="370"/>
      <c r="J16" s="370"/>
      <c r="K16" s="370"/>
      <c r="L16" s="398" t="s">
        <v>65</v>
      </c>
      <c r="M16" s="398"/>
      <c r="N16" s="428"/>
      <c r="O16" s="429"/>
      <c r="P16" s="430"/>
      <c r="Q16" s="432"/>
      <c r="R16" s="431"/>
      <c r="S16" s="432"/>
      <c r="T16" s="431"/>
      <c r="U16" s="426"/>
      <c r="V16" s="356" t="str">
        <f t="shared" si="2"/>
        <v/>
      </c>
      <c r="W16" s="357"/>
      <c r="X16" s="358" t="str">
        <f t="shared" si="0"/>
        <v/>
      </c>
      <c r="Y16" s="358"/>
      <c r="Z16" s="358" t="str">
        <f t="shared" si="3"/>
        <v/>
      </c>
      <c r="AA16" s="359"/>
      <c r="AD16" s="37" t="e">
        <f t="shared" si="4"/>
        <v>#VALUE!</v>
      </c>
      <c r="AE16" s="37" t="e">
        <f t="shared" si="5"/>
        <v>#VALUE!</v>
      </c>
      <c r="AG16" s="40" t="b">
        <v>0</v>
      </c>
      <c r="AH16" s="37" t="str">
        <f t="shared" si="6"/>
        <v>エラー</v>
      </c>
      <c r="AI16" s="37" t="str">
        <f t="shared" si="7"/>
        <v>エラー</v>
      </c>
      <c r="AK16" s="37" t="e">
        <f t="shared" si="8"/>
        <v>#DIV/0!</v>
      </c>
      <c r="AL16" s="37" t="e">
        <f t="shared" si="9"/>
        <v>#DIV/0!</v>
      </c>
      <c r="AN16" s="37" t="e">
        <f>IF(共通条件・結果!$AA$7="８地域",H16,IF(AO16="FALSE",H16,IF(L16="風除室",1/((1/H16)+0.1),0.5*H16+0.5*(1/((1/H16)+AO16)))))</f>
        <v>#DIV/0!</v>
      </c>
      <c r="AO16" s="39" t="b">
        <f t="shared" si="1"/>
        <v>0</v>
      </c>
    </row>
    <row r="17" spans="2:41" s="37" customFormat="1" ht="21.95" customHeight="1">
      <c r="B17" s="419"/>
      <c r="C17" s="420"/>
      <c r="D17" s="421"/>
      <c r="E17" s="422"/>
      <c r="F17" s="422"/>
      <c r="G17" s="423"/>
      <c r="H17" s="370"/>
      <c r="I17" s="370"/>
      <c r="J17" s="370"/>
      <c r="K17" s="370"/>
      <c r="L17" s="398" t="s">
        <v>65</v>
      </c>
      <c r="M17" s="398"/>
      <c r="N17" s="428"/>
      <c r="O17" s="429"/>
      <c r="P17" s="427"/>
      <c r="Q17" s="430"/>
      <c r="R17" s="431"/>
      <c r="S17" s="432"/>
      <c r="T17" s="431"/>
      <c r="U17" s="426"/>
      <c r="V17" s="356" t="str">
        <f t="shared" si="2"/>
        <v/>
      </c>
      <c r="W17" s="357"/>
      <c r="X17" s="358" t="str">
        <f t="shared" si="0"/>
        <v/>
      </c>
      <c r="Y17" s="358"/>
      <c r="Z17" s="358" t="str">
        <f t="shared" si="3"/>
        <v/>
      </c>
      <c r="AA17" s="359"/>
      <c r="AD17" s="37" t="e">
        <f t="shared" si="4"/>
        <v>#VALUE!</v>
      </c>
      <c r="AE17" s="37" t="e">
        <f t="shared" si="5"/>
        <v>#VALUE!</v>
      </c>
      <c r="AG17" s="40" t="b">
        <v>0</v>
      </c>
      <c r="AH17" s="37" t="str">
        <f t="shared" si="6"/>
        <v>エラー</v>
      </c>
      <c r="AI17" s="37" t="str">
        <f t="shared" si="7"/>
        <v>エラー</v>
      </c>
      <c r="AK17" s="37" t="e">
        <f t="shared" si="8"/>
        <v>#DIV/0!</v>
      </c>
      <c r="AL17" s="37" t="e">
        <f t="shared" si="9"/>
        <v>#DIV/0!</v>
      </c>
      <c r="AN17" s="37" t="e">
        <f>IF(共通条件・結果!$AA$7="８地域",H17,IF(AO17="FALSE",H17,IF(L17="風除室",1/((1/H17)+0.1),0.5*H17+0.5*(1/((1/H17)+AO17)))))</f>
        <v>#DIV/0!</v>
      </c>
      <c r="AO17" s="39" t="b">
        <f t="shared" si="1"/>
        <v>0</v>
      </c>
    </row>
    <row r="18" spans="2:41" s="37" customFormat="1" ht="21.95" customHeight="1">
      <c r="B18" s="419"/>
      <c r="C18" s="445"/>
      <c r="D18" s="421"/>
      <c r="E18" s="422"/>
      <c r="F18" s="422"/>
      <c r="G18" s="423"/>
      <c r="H18" s="370"/>
      <c r="I18" s="370"/>
      <c r="J18" s="370"/>
      <c r="K18" s="370"/>
      <c r="L18" s="398" t="s">
        <v>65</v>
      </c>
      <c r="M18" s="398"/>
      <c r="N18" s="428"/>
      <c r="O18" s="429"/>
      <c r="P18" s="427"/>
      <c r="Q18" s="430"/>
      <c r="R18" s="424"/>
      <c r="S18" s="425"/>
      <c r="T18" s="426"/>
      <c r="U18" s="427"/>
      <c r="V18" s="356" t="str">
        <f t="shared" si="2"/>
        <v/>
      </c>
      <c r="W18" s="357"/>
      <c r="X18" s="358" t="str">
        <f t="shared" si="0"/>
        <v/>
      </c>
      <c r="Y18" s="358"/>
      <c r="Z18" s="358" t="str">
        <f t="shared" si="3"/>
        <v/>
      </c>
      <c r="AA18" s="359"/>
      <c r="AD18" s="37" t="e">
        <f t="shared" si="4"/>
        <v>#VALUE!</v>
      </c>
      <c r="AE18" s="37" t="e">
        <f t="shared" si="5"/>
        <v>#VALUE!</v>
      </c>
      <c r="AG18" s="40" t="b">
        <v>0</v>
      </c>
      <c r="AH18" s="37" t="str">
        <f t="shared" si="6"/>
        <v>エラー</v>
      </c>
      <c r="AI18" s="37" t="str">
        <f t="shared" si="7"/>
        <v>エラー</v>
      </c>
      <c r="AK18" s="37" t="e">
        <f t="shared" si="8"/>
        <v>#DIV/0!</v>
      </c>
      <c r="AL18" s="37" t="e">
        <f t="shared" si="9"/>
        <v>#DIV/0!</v>
      </c>
      <c r="AN18" s="37" t="e">
        <f>IF(共通条件・結果!$AA$7="８地域",H18,IF(AO18="FALSE",H18,IF(L18="風除室",1/((1/H18)+0.1),0.5*H18+0.5*(1/((1/H18)+AO18)))))</f>
        <v>#DIV/0!</v>
      </c>
      <c r="AO18" s="39" t="b">
        <f t="shared" si="1"/>
        <v>0</v>
      </c>
    </row>
    <row r="19" spans="2:41" s="37" customFormat="1" ht="21.95" customHeight="1" thickBot="1">
      <c r="B19" s="350"/>
      <c r="C19" s="417"/>
      <c r="D19" s="394"/>
      <c r="E19" s="395"/>
      <c r="F19" s="395"/>
      <c r="G19" s="396"/>
      <c r="H19" s="397"/>
      <c r="I19" s="397"/>
      <c r="J19" s="397"/>
      <c r="K19" s="397"/>
      <c r="L19" s="410" t="s">
        <v>65</v>
      </c>
      <c r="M19" s="410"/>
      <c r="N19" s="411"/>
      <c r="O19" s="412"/>
      <c r="P19" s="413"/>
      <c r="Q19" s="414"/>
      <c r="R19" s="415"/>
      <c r="S19" s="416"/>
      <c r="T19" s="418"/>
      <c r="U19" s="413"/>
      <c r="V19" s="356" t="str">
        <f t="shared" si="2"/>
        <v/>
      </c>
      <c r="W19" s="357"/>
      <c r="X19" s="358" t="str">
        <f t="shared" si="0"/>
        <v/>
      </c>
      <c r="Y19" s="358"/>
      <c r="Z19" s="367" t="str">
        <f t="shared" si="3"/>
        <v/>
      </c>
      <c r="AA19" s="374"/>
      <c r="AD19" s="37" t="e">
        <f t="shared" si="4"/>
        <v>#VALUE!</v>
      </c>
      <c r="AE19" s="37" t="e">
        <f t="shared" si="5"/>
        <v>#VALUE!</v>
      </c>
      <c r="AG19" s="40" t="b">
        <v>0</v>
      </c>
      <c r="AH19" s="37" t="str">
        <f t="shared" si="6"/>
        <v>エラー</v>
      </c>
      <c r="AI19" s="37" t="str">
        <f t="shared" si="7"/>
        <v>エラー</v>
      </c>
      <c r="AK19" s="37" t="e">
        <f t="shared" si="8"/>
        <v>#DIV/0!</v>
      </c>
      <c r="AL19" s="37" t="e">
        <f t="shared" si="9"/>
        <v>#DIV/0!</v>
      </c>
      <c r="AN19" s="37" t="e">
        <f>IF(共通条件・結果!$AA$7="８地域",H19,IF(AO19="FALSE",H19,IF(L19="風除室",1/((1/H19)+0.1),0.5*H19+0.5*(1/((1/H19)+AO19)))))</f>
        <v>#DIV/0!</v>
      </c>
      <c r="AO19" s="39" t="b">
        <f t="shared" si="1"/>
        <v>0</v>
      </c>
    </row>
    <row r="20" spans="2:41" s="37" customFormat="1" ht="21.95" customHeight="1" thickBot="1">
      <c r="B20" s="408" t="s">
        <v>132</v>
      </c>
      <c r="C20" s="409"/>
      <c r="D20" s="409"/>
      <c r="E20" s="409"/>
      <c r="F20" s="409"/>
      <c r="G20" s="409"/>
      <c r="H20" s="409"/>
      <c r="I20" s="409"/>
      <c r="J20" s="409"/>
      <c r="K20" s="409"/>
      <c r="L20" s="409"/>
      <c r="M20" s="409"/>
      <c r="N20" s="409"/>
      <c r="O20" s="409"/>
      <c r="P20" s="409"/>
      <c r="Q20" s="409"/>
      <c r="R20" s="409"/>
      <c r="S20" s="409"/>
      <c r="T20" s="409"/>
      <c r="U20" s="409"/>
      <c r="V20" s="344">
        <f>SUM(V8:W19)</f>
        <v>0.44631518400000009</v>
      </c>
      <c r="W20" s="344"/>
      <c r="X20" s="344">
        <f>SUM(X8:Y19)</f>
        <v>0.2539803060000001</v>
      </c>
      <c r="Y20" s="344"/>
      <c r="Z20" s="344">
        <f>SUM(Z8:AA19)</f>
        <v>7.2243000000000013</v>
      </c>
      <c r="AA20" s="345"/>
    </row>
    <row r="21" spans="2:41" s="37" customFormat="1" ht="9.9499999999999993" customHeight="1">
      <c r="AN21" s="401"/>
      <c r="AO21" s="401"/>
    </row>
    <row r="22" spans="2:41" s="37" customFormat="1" ht="21.95" customHeight="1" thickBot="1">
      <c r="J22" s="38" t="s">
        <v>15</v>
      </c>
      <c r="K22" s="38"/>
      <c r="L22" s="38"/>
    </row>
    <row r="23" spans="2:41" s="37" customFormat="1" ht="21.95" customHeight="1">
      <c r="J23" s="465" t="s">
        <v>16</v>
      </c>
      <c r="K23" s="486"/>
      <c r="L23" s="486"/>
      <c r="M23" s="466"/>
      <c r="N23" s="361" t="s">
        <v>91</v>
      </c>
      <c r="O23" s="361"/>
      <c r="P23" s="361"/>
      <c r="Q23" s="361"/>
      <c r="R23" s="361" t="s">
        <v>7</v>
      </c>
      <c r="S23" s="361"/>
      <c r="T23" s="402" t="s">
        <v>10</v>
      </c>
      <c r="U23" s="403"/>
      <c r="V23" s="360" t="s">
        <v>68</v>
      </c>
      <c r="W23" s="361"/>
      <c r="X23" s="360" t="s">
        <v>67</v>
      </c>
      <c r="Y23" s="361"/>
      <c r="Z23" s="361" t="s">
        <v>13</v>
      </c>
      <c r="AA23" s="363"/>
      <c r="AN23" s="401" t="s">
        <v>89</v>
      </c>
      <c r="AO23" s="401"/>
    </row>
    <row r="24" spans="2:41" s="37" customFormat="1" ht="21.95" customHeight="1" thickBot="1">
      <c r="J24" s="467"/>
      <c r="K24" s="475"/>
      <c r="L24" s="475"/>
      <c r="M24" s="438"/>
      <c r="N24" s="405" t="s">
        <v>9</v>
      </c>
      <c r="O24" s="406"/>
      <c r="P24" s="407" t="s">
        <v>8</v>
      </c>
      <c r="Q24" s="362"/>
      <c r="R24" s="362"/>
      <c r="S24" s="362"/>
      <c r="T24" s="404"/>
      <c r="U24" s="404"/>
      <c r="V24" s="362"/>
      <c r="W24" s="362"/>
      <c r="X24" s="362"/>
      <c r="Y24" s="362"/>
      <c r="Z24" s="362"/>
      <c r="AA24" s="364"/>
      <c r="AN24" s="97" t="s">
        <v>87</v>
      </c>
      <c r="AO24" s="37" t="s">
        <v>85</v>
      </c>
    </row>
    <row r="25" spans="2:41" s="37" customFormat="1" ht="21.95" customHeight="1">
      <c r="C25" s="41"/>
      <c r="D25" s="41"/>
      <c r="E25" s="41"/>
      <c r="F25" s="41"/>
      <c r="G25" s="41"/>
      <c r="H25" s="41"/>
      <c r="I25" s="41"/>
      <c r="J25" s="433"/>
      <c r="K25" s="487"/>
      <c r="L25" s="487"/>
      <c r="M25" s="446"/>
      <c r="N25" s="435">
        <v>0.9</v>
      </c>
      <c r="O25" s="436"/>
      <c r="P25" s="436">
        <v>2.1</v>
      </c>
      <c r="Q25" s="437"/>
      <c r="R25" s="392">
        <v>3.49</v>
      </c>
      <c r="S25" s="392"/>
      <c r="T25" s="485"/>
      <c r="U25" s="485"/>
      <c r="V25" s="368">
        <f>IF(N25="","",N25*P25*R25*0.034*$V$4)</f>
        <v>0.11303076960000001</v>
      </c>
      <c r="W25" s="368"/>
      <c r="X25" s="368">
        <f>IF(N25="","",IF(ISERROR(N25*P25*R25*0.034*$X$4),"-",N25*P25*R25*0.034*$X$4))</f>
        <v>0.11729185020000002</v>
      </c>
      <c r="Y25" s="368"/>
      <c r="Z25" s="368">
        <f>IF(N25="","",N25*P25*AN25)</f>
        <v>6.5961000000000007</v>
      </c>
      <c r="AA25" s="369"/>
      <c r="AN25" s="37">
        <f>IF(共通条件・結果!$AA$7="８地域",R25,IF(AO25="FALSE",R25,IF(T25="風除室",1/((1/R25)+0.1),0.5*R25+0.5*(1/((1/R25)+AO25)))))</f>
        <v>3.49</v>
      </c>
      <c r="AO25" s="39" t="str">
        <f>IF(T25="","FALSE",IF(T25="雨戸",0.1,IF(T25="ｼｬｯﾀｰ",0.1,IF(T25="障子",0.18,IF(T25="風除室",0.1)))))</f>
        <v>FALSE</v>
      </c>
    </row>
    <row r="26" spans="2:41" s="37" customFormat="1" ht="21.95" customHeight="1">
      <c r="C26" s="41"/>
      <c r="D26" s="41"/>
      <c r="E26" s="41"/>
      <c r="F26" s="41"/>
      <c r="G26" s="41"/>
      <c r="H26" s="41"/>
      <c r="I26" s="41"/>
      <c r="J26" s="419"/>
      <c r="K26" s="494"/>
      <c r="L26" s="494"/>
      <c r="M26" s="445"/>
      <c r="N26" s="488"/>
      <c r="O26" s="492"/>
      <c r="P26" s="493"/>
      <c r="Q26" s="489"/>
      <c r="R26" s="488"/>
      <c r="S26" s="489"/>
      <c r="T26" s="495"/>
      <c r="U26" s="496"/>
      <c r="V26" s="356" t="str">
        <f>IF(N26="","",N26*P26*R26*0.034*$V$4)</f>
        <v/>
      </c>
      <c r="W26" s="357"/>
      <c r="X26" s="356" t="str">
        <f>IF(N26="","",IF(ISERROR(N26*P26*R26*0.034*$X$4),"-",N26*P26*R26*0.034*$X$4))</f>
        <v/>
      </c>
      <c r="Y26" s="357"/>
      <c r="Z26" s="356" t="str">
        <f>IF(N26="","",N26*P26*AN26)</f>
        <v/>
      </c>
      <c r="AA26" s="375"/>
      <c r="AN26" s="37">
        <f>IF(共通条件・結果!$AA$7="８地域",R26,IF(AO26="FALSE",R26,IF(T26="風除室",1/((1/R26)+0.1),0.5*R26+0.5*(1/((1/R26)+AO26)))))</f>
        <v>0</v>
      </c>
      <c r="AO26" s="95" t="str">
        <f>IF(T26="","FALSE",IF(T26="雨戸",0.1,IF(T26="ｼｬｯﾀｰ",0.1,IF(T26="障子",0.18,IF(T26="風除室",0.1)))))</f>
        <v>FALSE</v>
      </c>
    </row>
    <row r="27" spans="2:41" s="37" customFormat="1" ht="21.95" customHeight="1" thickBot="1">
      <c r="C27" s="41"/>
      <c r="D27" s="41"/>
      <c r="E27" s="41"/>
      <c r="F27" s="41"/>
      <c r="G27" s="41"/>
      <c r="H27" s="41"/>
      <c r="I27" s="41"/>
      <c r="J27" s="350"/>
      <c r="K27" s="464"/>
      <c r="L27" s="464"/>
      <c r="M27" s="351"/>
      <c r="N27" s="394"/>
      <c r="O27" s="395"/>
      <c r="P27" s="395"/>
      <c r="Q27" s="396"/>
      <c r="R27" s="397"/>
      <c r="S27" s="397"/>
      <c r="T27" s="398" t="s">
        <v>65</v>
      </c>
      <c r="U27" s="398"/>
      <c r="V27" s="399" t="str">
        <f>IF(N27="","",N27*P27*R27*0.034*$V$4)</f>
        <v/>
      </c>
      <c r="W27" s="399"/>
      <c r="X27" s="399" t="str">
        <f>IF(N27="","",IF(ISERROR(N27*P27*R27*0.034*$X$4),"-",N27*P27*R27*0.034*$X$4))</f>
        <v/>
      </c>
      <c r="Y27" s="399"/>
      <c r="Z27" s="399" t="str">
        <f>IF(N27="","",N27*P27*AN27)</f>
        <v/>
      </c>
      <c r="AA27" s="400"/>
      <c r="AN27" s="37" t="e">
        <f>IF(共通条件・結果!$AA$7="８地域",R27,IF(AO27="FALSE",R27,IF(T27="風除室",1/((1/R27)+0.1),0.5*R27+0.5*(1/((1/R27)+AO27)))))</f>
        <v>#DIV/0!</v>
      </c>
      <c r="AO27" s="39" t="b">
        <f>IF(T27="","FALSE",IF(T27="雨戸",0.1,IF(T27="ｼｬｯﾀｰ",0.1,IF(T27="障子",0.18,IF(T27="風除室",0.1)))))</f>
        <v>0</v>
      </c>
    </row>
    <row r="28" spans="2:41" s="37" customFormat="1" ht="21.95" customHeight="1" thickBot="1">
      <c r="C28" s="41"/>
      <c r="D28" s="41"/>
      <c r="E28" s="41"/>
      <c r="F28" s="41"/>
      <c r="G28" s="41"/>
      <c r="H28" s="41"/>
      <c r="I28" s="41"/>
      <c r="J28" s="408" t="s">
        <v>148</v>
      </c>
      <c r="K28" s="409"/>
      <c r="L28" s="409"/>
      <c r="M28" s="409"/>
      <c r="N28" s="409"/>
      <c r="O28" s="409"/>
      <c r="P28" s="409"/>
      <c r="Q28" s="409"/>
      <c r="R28" s="409"/>
      <c r="S28" s="409"/>
      <c r="T28" s="409"/>
      <c r="U28" s="468"/>
      <c r="V28" s="344">
        <f>SUM(V25:W27)</f>
        <v>0.11303076960000001</v>
      </c>
      <c r="W28" s="344"/>
      <c r="X28" s="344">
        <f>SUM(X25:Y27)</f>
        <v>0.11729185020000002</v>
      </c>
      <c r="Y28" s="344"/>
      <c r="Z28" s="344">
        <f>SUM(Z25:AA27)</f>
        <v>6.5961000000000007</v>
      </c>
      <c r="AA28" s="345"/>
      <c r="AO28" s="39"/>
    </row>
    <row r="29" spans="2:41" s="37" customFormat="1" ht="9.9499999999999993" customHeight="1">
      <c r="C29" s="41"/>
      <c r="D29" s="41"/>
      <c r="E29" s="41"/>
      <c r="F29" s="41"/>
      <c r="G29" s="41"/>
      <c r="H29" s="41"/>
      <c r="I29" s="41"/>
      <c r="J29" s="41"/>
      <c r="AO29" s="39"/>
    </row>
    <row r="30" spans="2:41" s="37" customFormat="1" ht="21.95" customHeight="1" thickBot="1">
      <c r="C30" s="41"/>
      <c r="D30" s="41"/>
      <c r="E30" s="41"/>
      <c r="F30" s="41"/>
      <c r="G30" s="41"/>
      <c r="H30" s="41"/>
      <c r="I30" s="41"/>
      <c r="J30" s="38" t="s">
        <v>17</v>
      </c>
      <c r="K30" s="38"/>
      <c r="L30" s="38"/>
      <c r="AO30" s="39"/>
    </row>
    <row r="31" spans="2:41" s="37" customFormat="1" ht="21.95" customHeight="1">
      <c r="C31" s="41"/>
      <c r="D31" s="41"/>
      <c r="E31" s="41"/>
      <c r="F31" s="41"/>
      <c r="G31" s="41"/>
      <c r="H31" s="41"/>
      <c r="I31" s="41"/>
      <c r="J31" s="465" t="s">
        <v>0</v>
      </c>
      <c r="K31" s="466"/>
      <c r="L31" s="376" t="s">
        <v>53</v>
      </c>
      <c r="M31" s="377"/>
      <c r="N31" s="376" t="s">
        <v>170</v>
      </c>
      <c r="O31" s="377"/>
      <c r="P31" s="380" t="s">
        <v>54</v>
      </c>
      <c r="Q31" s="381"/>
      <c r="R31" s="361" t="s">
        <v>7</v>
      </c>
      <c r="S31" s="361"/>
      <c r="T31" s="384" t="s">
        <v>150</v>
      </c>
      <c r="U31" s="385"/>
      <c r="V31" s="360" t="s">
        <v>68</v>
      </c>
      <c r="W31" s="361"/>
      <c r="X31" s="360" t="s">
        <v>67</v>
      </c>
      <c r="Y31" s="361"/>
      <c r="Z31" s="361" t="s">
        <v>13</v>
      </c>
      <c r="AA31" s="363"/>
      <c r="AO31" s="39"/>
    </row>
    <row r="32" spans="2:41" s="37" customFormat="1" ht="21.95" customHeight="1" thickBot="1">
      <c r="C32" s="41"/>
      <c r="D32" s="41"/>
      <c r="E32" s="41"/>
      <c r="F32" s="41"/>
      <c r="G32" s="41"/>
      <c r="H32" s="41"/>
      <c r="I32" s="41"/>
      <c r="J32" s="467"/>
      <c r="K32" s="438"/>
      <c r="L32" s="378"/>
      <c r="M32" s="379"/>
      <c r="N32" s="378"/>
      <c r="O32" s="379"/>
      <c r="P32" s="382"/>
      <c r="Q32" s="383"/>
      <c r="R32" s="362"/>
      <c r="S32" s="362"/>
      <c r="T32" s="386"/>
      <c r="U32" s="387"/>
      <c r="V32" s="362"/>
      <c r="W32" s="362"/>
      <c r="X32" s="362"/>
      <c r="Y32" s="362"/>
      <c r="Z32" s="362"/>
      <c r="AA32" s="364"/>
      <c r="AE32" s="37" t="s">
        <v>140</v>
      </c>
      <c r="AF32" s="37" t="s">
        <v>141</v>
      </c>
    </row>
    <row r="33" spans="2:32" s="37" customFormat="1" ht="21.95" customHeight="1">
      <c r="C33" s="41"/>
      <c r="D33" s="41"/>
      <c r="E33" s="41"/>
      <c r="F33" s="41"/>
      <c r="G33" s="41"/>
      <c r="H33" s="41"/>
      <c r="I33" s="41"/>
      <c r="J33" s="433" t="s">
        <v>1</v>
      </c>
      <c r="K33" s="446"/>
      <c r="L33" s="388">
        <v>33.31</v>
      </c>
      <c r="M33" s="389"/>
      <c r="N33" s="388">
        <f>Q41+U41</f>
        <v>3.9600000000000004</v>
      </c>
      <c r="O33" s="389"/>
      <c r="P33" s="390">
        <f>IF(L33="","",L33-N33)</f>
        <v>29.35</v>
      </c>
      <c r="Q33" s="391"/>
      <c r="R33" s="392">
        <f>ROUND((IF(L33="","",部位U計算!$F$52)),3)</f>
        <v>0.49</v>
      </c>
      <c r="S33" s="392"/>
      <c r="T33" s="393"/>
      <c r="U33" s="393"/>
      <c r="V33" s="368">
        <f>IF(P33="","",IF(AD33=TRUE,0,P33*R33*0.034*$V$4))</f>
        <v>0.24644138400000001</v>
      </c>
      <c r="W33" s="368"/>
      <c r="X33" s="500">
        <f>IF(P33="","",IF(ISERROR(P33*R33*0.034*$X$4),"-",IF(AD33=TRUE,0,P33*R33*0.034*$X$4)))</f>
        <v>0.25573183300000002</v>
      </c>
      <c r="Y33" s="501"/>
      <c r="Z33" s="368">
        <f>IF(R33="","",IF(AD33=TRUE,0.7*R33*P33,R33*P33))</f>
        <v>14.381500000000001</v>
      </c>
      <c r="AA33" s="369"/>
      <c r="AD33" s="40" t="b">
        <v>0</v>
      </c>
      <c r="AE33" s="40">
        <f>IF(AD33=TRUE,0.7,1)</f>
        <v>1</v>
      </c>
      <c r="AF33" s="40" t="str">
        <f>IF(AD33=TRUE,0,"セル")</f>
        <v>セル</v>
      </c>
    </row>
    <row r="34" spans="2:32" s="37" customFormat="1" ht="21.95" customHeight="1">
      <c r="C34" s="41"/>
      <c r="D34" s="41"/>
      <c r="E34" s="41"/>
      <c r="F34" s="41"/>
      <c r="G34" s="41"/>
      <c r="H34" s="41"/>
      <c r="I34" s="41"/>
      <c r="J34" s="419" t="s">
        <v>387</v>
      </c>
      <c r="K34" s="445"/>
      <c r="L34" s="488">
        <v>0</v>
      </c>
      <c r="M34" s="489"/>
      <c r="N34" s="488"/>
      <c r="O34" s="489"/>
      <c r="P34" s="490">
        <f t="shared" ref="P34:P35" si="20">IF(L34="","",L34-N34)</f>
        <v>0</v>
      </c>
      <c r="Q34" s="491"/>
      <c r="R34" s="488">
        <f>ROUND(IF(L34="","",部位U計算!$F$100),2)</f>
        <v>0.49</v>
      </c>
      <c r="S34" s="489"/>
      <c r="T34" s="498"/>
      <c r="U34" s="499"/>
      <c r="V34" s="356">
        <f t="shared" ref="V34:V35" si="21">IF(P34="","",IF(AD34=TRUE,0,P34*R34*0.034*$V$4))</f>
        <v>0</v>
      </c>
      <c r="W34" s="357"/>
      <c r="X34" s="356">
        <f t="shared" ref="X34:X35" si="22">IF(P34="","",IF(ISERROR(P34*R34*0.034*$X$4),"-",IF(AD34=TRUE,0,P34*R34*0.034*$X$4)))</f>
        <v>0</v>
      </c>
      <c r="Y34" s="357"/>
      <c r="Z34" s="356">
        <f t="shared" ref="Z34:Z35" si="23">IF(R34="","",IF(AD34=TRUE,0.7*R34*P34,R34*P34))</f>
        <v>0</v>
      </c>
      <c r="AA34" s="375"/>
      <c r="AD34" s="40" t="b">
        <v>0</v>
      </c>
      <c r="AE34" s="40">
        <f t="shared" ref="AE34:AE35" si="24">IF(AD34=TRUE,0.7,1)</f>
        <v>1</v>
      </c>
      <c r="AF34" s="40" t="str">
        <f t="shared" ref="AF34:AF35" si="25">IF(AD34=TRUE,0,"セル")</f>
        <v>セル</v>
      </c>
    </row>
    <row r="35" spans="2:32" s="37" customFormat="1" ht="21.95" customHeight="1">
      <c r="C35" s="41"/>
      <c r="D35" s="41"/>
      <c r="E35" s="41"/>
      <c r="F35" s="41"/>
      <c r="G35" s="41"/>
      <c r="H35" s="41"/>
      <c r="I35" s="41"/>
      <c r="J35" s="419" t="s">
        <v>387</v>
      </c>
      <c r="K35" s="445"/>
      <c r="L35" s="488">
        <v>0</v>
      </c>
      <c r="M35" s="489"/>
      <c r="N35" s="488"/>
      <c r="O35" s="489"/>
      <c r="P35" s="490">
        <f t="shared" si="20"/>
        <v>0</v>
      </c>
      <c r="Q35" s="491"/>
      <c r="R35" s="488">
        <f>ROUND(IF(L35="","",部位U計算!$F$114),2)</f>
        <v>1.18</v>
      </c>
      <c r="S35" s="489"/>
      <c r="T35" s="498"/>
      <c r="U35" s="499"/>
      <c r="V35" s="356">
        <f t="shared" si="21"/>
        <v>0</v>
      </c>
      <c r="W35" s="357"/>
      <c r="X35" s="356">
        <f t="shared" si="22"/>
        <v>0</v>
      </c>
      <c r="Y35" s="357"/>
      <c r="Z35" s="356">
        <f t="shared" si="23"/>
        <v>0</v>
      </c>
      <c r="AA35" s="375"/>
      <c r="AD35" s="40" t="b">
        <v>1</v>
      </c>
      <c r="AE35" s="40">
        <f t="shared" si="24"/>
        <v>0.7</v>
      </c>
      <c r="AF35" s="40">
        <f t="shared" si="25"/>
        <v>0</v>
      </c>
    </row>
    <row r="36" spans="2:32" s="37" customFormat="1" ht="21.95" customHeight="1">
      <c r="C36" s="41"/>
      <c r="D36" s="41"/>
      <c r="E36" s="41"/>
      <c r="F36" s="41"/>
      <c r="G36" s="41"/>
      <c r="H36" s="41"/>
      <c r="I36" s="41"/>
      <c r="J36" s="419" t="s">
        <v>388</v>
      </c>
      <c r="K36" s="445"/>
      <c r="L36" s="488">
        <v>0</v>
      </c>
      <c r="M36" s="489"/>
      <c r="N36" s="488"/>
      <c r="O36" s="489"/>
      <c r="P36" s="490">
        <f>IF(L36="","",L36-N36)</f>
        <v>0</v>
      </c>
      <c r="Q36" s="491"/>
      <c r="R36" s="370">
        <f>ROUND(IF(L36="","",部位U計算!$F$128),2)</f>
        <v>0.49</v>
      </c>
      <c r="S36" s="370"/>
      <c r="T36" s="371"/>
      <c r="U36" s="371"/>
      <c r="V36" s="358">
        <f>IF(P36="","",IF(AD36=TRUE,0,P36*R36*0.034*$V$4))</f>
        <v>0</v>
      </c>
      <c r="W36" s="358"/>
      <c r="X36" s="356">
        <f>IF(P36="","",IF(ISERROR(P36*R36*0.034*$X$4),"-",IF(AD36=TRUE,0,P36*R36*0.034*$X$4)))</f>
        <v>0</v>
      </c>
      <c r="Y36" s="357"/>
      <c r="Z36" s="358">
        <f>IF(R36="","",IF(AD36=TRUE,0.7*R36*P36,R36*P36))</f>
        <v>0</v>
      </c>
      <c r="AA36" s="359"/>
      <c r="AD36" s="40" t="b">
        <v>0</v>
      </c>
      <c r="AE36" s="40">
        <f>IF(AD36=TRUE,0.7,1)</f>
        <v>1</v>
      </c>
      <c r="AF36" s="40" t="str">
        <f>IF(AD36=TRUE,0,"セル")</f>
        <v>セル</v>
      </c>
    </row>
    <row r="37" spans="2:32" s="37" customFormat="1" ht="21.95" customHeight="1" thickBot="1">
      <c r="J37" s="350" t="s">
        <v>388</v>
      </c>
      <c r="K37" s="351"/>
      <c r="L37" s="346">
        <v>0</v>
      </c>
      <c r="M37" s="347"/>
      <c r="N37" s="346"/>
      <c r="O37" s="347"/>
      <c r="P37" s="348">
        <f>IF(L37="","",L37-N37)</f>
        <v>0</v>
      </c>
      <c r="Q37" s="349"/>
      <c r="R37" s="365">
        <f>ROUND(IF(L37="","",部位U計算!$F$142),2)</f>
        <v>1.18</v>
      </c>
      <c r="S37" s="365"/>
      <c r="T37" s="366"/>
      <c r="U37" s="366"/>
      <c r="V37" s="367">
        <f>IF(P37="","",IF(AD37=TRUE,0,P37*R37*0.034*$V$4))</f>
        <v>0</v>
      </c>
      <c r="W37" s="367"/>
      <c r="X37" s="372">
        <f>IF(P37="","",IF(ISERROR(P37*R37*0.034*$X$4),"-",IF(AD37=TRUE,0,P37*R37*0.034*$X$4)))</f>
        <v>0</v>
      </c>
      <c r="Y37" s="373"/>
      <c r="Z37" s="367">
        <f>IF(R37="","",IF(AD37=TRUE,0.7*R37*P37,R37*P37))</f>
        <v>0</v>
      </c>
      <c r="AA37" s="374"/>
      <c r="AD37" s="40" t="b">
        <v>1</v>
      </c>
      <c r="AE37" s="40">
        <f>IF(AD37=TRUE,0.7,1)</f>
        <v>0.7</v>
      </c>
      <c r="AF37" s="40">
        <f>IF(AD37=TRUE,0,"セル")</f>
        <v>0</v>
      </c>
    </row>
    <row r="38" spans="2:32" s="37" customFormat="1" ht="21.95" customHeight="1" thickBot="1">
      <c r="J38" s="408" t="s">
        <v>133</v>
      </c>
      <c r="K38" s="409"/>
      <c r="L38" s="409"/>
      <c r="M38" s="409"/>
      <c r="N38" s="409"/>
      <c r="O38" s="409"/>
      <c r="P38" s="409"/>
      <c r="Q38" s="409"/>
      <c r="R38" s="409"/>
      <c r="S38" s="409"/>
      <c r="T38" s="409"/>
      <c r="U38" s="468"/>
      <c r="V38" s="344">
        <f>SUM(V33:W37)</f>
        <v>0.24644138400000001</v>
      </c>
      <c r="W38" s="344"/>
      <c r="X38" s="344">
        <f>SUM(X33:Y37)</f>
        <v>0.25573183300000002</v>
      </c>
      <c r="Y38" s="344"/>
      <c r="Z38" s="344">
        <f>SUM(Z33:AA37)</f>
        <v>14.381500000000001</v>
      </c>
      <c r="AA38" s="345"/>
    </row>
    <row r="39" spans="2:32" s="37" customFormat="1" ht="9.9499999999999993" customHeight="1"/>
    <row r="40" spans="2:32" s="37" customFormat="1" ht="21.95" customHeight="1" thickBot="1">
      <c r="B40" s="38" t="s">
        <v>134</v>
      </c>
    </row>
    <row r="41" spans="2:32" s="37" customFormat="1" ht="21.95" customHeight="1">
      <c r="B41" s="327" t="s">
        <v>107</v>
      </c>
      <c r="C41" s="328"/>
      <c r="D41" s="333" t="s">
        <v>56</v>
      </c>
      <c r="E41" s="334"/>
      <c r="F41" s="334"/>
      <c r="G41" s="334"/>
      <c r="H41" s="334"/>
      <c r="I41" s="334"/>
      <c r="J41" s="335"/>
      <c r="K41" s="42"/>
      <c r="L41" s="336">
        <f>Q41+U41+Y41</f>
        <v>33.31</v>
      </c>
      <c r="M41" s="336"/>
      <c r="N41" s="336"/>
      <c r="O41" s="42" t="s">
        <v>24</v>
      </c>
      <c r="P41" s="43" t="s">
        <v>23</v>
      </c>
      <c r="Q41" s="337">
        <f>D8*F8+D9*F9+D10*F10+D11*F11+D12*F12+D13*F13+D14*F14+D15*F15+D16*F16+D17*F17+D18*F18+D19*F19</f>
        <v>2.0700000000000003</v>
      </c>
      <c r="R41" s="337"/>
      <c r="S41" s="44" t="s">
        <v>25</v>
      </c>
      <c r="T41" s="44" t="s">
        <v>22</v>
      </c>
      <c r="U41" s="338">
        <f>N25*P25+N26*P26+N27*P27</f>
        <v>1.8900000000000001</v>
      </c>
      <c r="V41" s="338"/>
      <c r="W41" s="44" t="s">
        <v>25</v>
      </c>
      <c r="X41" s="44" t="s">
        <v>1</v>
      </c>
      <c r="Y41" s="339">
        <f>SUM(P33:Q37)</f>
        <v>29.35</v>
      </c>
      <c r="Z41" s="339"/>
      <c r="AA41" s="45" t="s">
        <v>19</v>
      </c>
    </row>
    <row r="42" spans="2:32" s="37" customFormat="1" ht="21.95" customHeight="1">
      <c r="B42" s="329"/>
      <c r="C42" s="330"/>
      <c r="D42" s="340" t="s">
        <v>72</v>
      </c>
      <c r="E42" s="341"/>
      <c r="F42" s="341"/>
      <c r="G42" s="341"/>
      <c r="H42" s="341"/>
      <c r="I42" s="341"/>
      <c r="J42" s="342"/>
      <c r="K42" s="46"/>
      <c r="L42" s="46"/>
      <c r="M42" s="46"/>
      <c r="N42" s="46"/>
      <c r="O42" s="46"/>
      <c r="P42" s="46"/>
      <c r="Q42" s="46"/>
      <c r="R42" s="46"/>
      <c r="S42" s="46"/>
      <c r="T42" s="46"/>
      <c r="U42" s="46"/>
      <c r="V42" s="46"/>
      <c r="W42" s="343">
        <f>V20+V28+V38</f>
        <v>0.8057873376000001</v>
      </c>
      <c r="X42" s="343"/>
      <c r="Y42" s="343"/>
      <c r="Z42" s="46"/>
      <c r="AA42" s="47"/>
    </row>
    <row r="43" spans="2:32" s="37" customFormat="1" ht="21.95" customHeight="1">
      <c r="B43" s="329"/>
      <c r="C43" s="330"/>
      <c r="D43" s="340" t="s">
        <v>73</v>
      </c>
      <c r="E43" s="341"/>
      <c r="F43" s="341"/>
      <c r="G43" s="341"/>
      <c r="H43" s="341"/>
      <c r="I43" s="341"/>
      <c r="J43" s="342"/>
      <c r="K43" s="46"/>
      <c r="L43" s="46"/>
      <c r="M43" s="46"/>
      <c r="N43" s="46"/>
      <c r="O43" s="46"/>
      <c r="P43" s="46"/>
      <c r="Q43" s="46"/>
      <c r="R43" s="46"/>
      <c r="S43" s="46"/>
      <c r="T43" s="46"/>
      <c r="U43" s="46"/>
      <c r="V43" s="46"/>
      <c r="W43" s="343">
        <f>X20+X28+X38</f>
        <v>0.62700398920000011</v>
      </c>
      <c r="X43" s="343"/>
      <c r="Y43" s="343"/>
      <c r="Z43" s="46"/>
      <c r="AA43" s="47"/>
    </row>
    <row r="44" spans="2:32" s="37" customFormat="1" ht="21.95" customHeight="1" thickBot="1">
      <c r="B44" s="331"/>
      <c r="C44" s="332"/>
      <c r="D44" s="352" t="s">
        <v>20</v>
      </c>
      <c r="E44" s="353"/>
      <c r="F44" s="353"/>
      <c r="G44" s="353"/>
      <c r="H44" s="353"/>
      <c r="I44" s="353"/>
      <c r="J44" s="354"/>
      <c r="K44" s="48"/>
      <c r="L44" s="48"/>
      <c r="M44" s="48"/>
      <c r="N44" s="48"/>
      <c r="O44" s="48"/>
      <c r="P44" s="48"/>
      <c r="Q44" s="48"/>
      <c r="R44" s="48"/>
      <c r="S44" s="48"/>
      <c r="T44" s="48"/>
      <c r="U44" s="48"/>
      <c r="V44" s="48"/>
      <c r="W44" s="355">
        <f>Z20+Z28+Z38</f>
        <v>28.201900000000002</v>
      </c>
      <c r="X44" s="355"/>
      <c r="Y44" s="355"/>
      <c r="Z44" s="49" t="s">
        <v>21</v>
      </c>
      <c r="AA44" s="50"/>
    </row>
    <row r="45" spans="2:32" s="37" customFormat="1" ht="21.95" customHeight="1"/>
    <row r="46" spans="2:32" s="37" customFormat="1" ht="21.95" customHeight="1"/>
    <row r="47" spans="2:32" s="37" customFormat="1" ht="21.95" customHeight="1"/>
    <row r="48" spans="2:32" s="37" customFormat="1" ht="21.95" customHeight="1"/>
    <row r="49" s="37" customFormat="1" ht="21.95" customHeight="1"/>
    <row r="50" s="37" customFormat="1" ht="21.95" customHeight="1"/>
    <row r="51" s="37" customFormat="1" ht="21.95" customHeight="1"/>
    <row r="52" s="37" customFormat="1" ht="21.95" customHeight="1"/>
    <row r="53" s="37" customFormat="1" ht="21.95" customHeight="1"/>
    <row r="54" s="37" customFormat="1" ht="21.95" customHeight="1"/>
    <row r="55" s="37" customFormat="1" ht="21.95" customHeight="1"/>
    <row r="56" s="37" customFormat="1" ht="21.95" customHeight="1"/>
    <row r="57" s="37" customFormat="1" ht="21.95" customHeight="1"/>
    <row r="58" s="37" customFormat="1" ht="21.95" customHeight="1"/>
    <row r="59" s="37" customFormat="1" ht="21.95" customHeight="1"/>
    <row r="60" s="37" customFormat="1" ht="21.95" customHeight="1"/>
    <row r="61" s="37" customFormat="1" ht="24.95" customHeight="1"/>
    <row r="62" s="37" customFormat="1" ht="24.95" customHeight="1"/>
    <row r="63" s="37" customFormat="1" ht="24.95" customHeight="1"/>
    <row r="64" s="37" customFormat="1" ht="24.95" customHeight="1"/>
    <row r="65" s="37" customFormat="1" ht="24.95" customHeight="1"/>
    <row r="66" s="37" customFormat="1" ht="24.95" customHeight="1"/>
    <row r="67" s="37" customFormat="1" ht="24.95" customHeight="1"/>
    <row r="68" s="37" customFormat="1" ht="24.95" customHeight="1"/>
    <row r="69" s="37" customFormat="1" ht="24.95" customHeight="1"/>
    <row r="70" s="37" customFormat="1" ht="24.95" customHeight="1"/>
    <row r="71" s="37" customFormat="1" ht="24.95" customHeight="1"/>
    <row r="72" s="37" customFormat="1" ht="24.95" customHeight="1"/>
    <row r="73" s="37" customFormat="1" ht="24.95" customHeight="1"/>
    <row r="74" s="37" customFormat="1" ht="24.95" customHeight="1"/>
    <row r="75" s="37" customFormat="1" ht="24.95" customHeight="1"/>
    <row r="76" s="37" customFormat="1" ht="24.95" customHeight="1"/>
    <row r="77" s="37" customFormat="1" ht="24.95" customHeight="1"/>
    <row r="78" s="37" customFormat="1" ht="24.95" customHeight="1"/>
    <row r="79" s="37" customFormat="1" ht="24.95" customHeight="1"/>
    <row r="80" s="37" customFormat="1" ht="24.95" customHeight="1"/>
    <row r="81" s="37" customFormat="1" ht="24.95" customHeight="1"/>
    <row r="82" s="37" customFormat="1" ht="24.95" customHeight="1"/>
    <row r="83" s="37" customFormat="1" ht="24.95" customHeight="1"/>
    <row r="84" s="37" customFormat="1" ht="24.95" customHeight="1"/>
    <row r="85" s="37" customFormat="1" ht="24.95" customHeight="1"/>
    <row r="86" s="37" customFormat="1" ht="24.95" customHeight="1"/>
    <row r="87" s="37" customFormat="1" ht="24.95" customHeight="1"/>
    <row r="88" s="37" customFormat="1" ht="24.95" customHeight="1"/>
    <row r="89" s="37" customFormat="1" ht="24.95" customHeight="1"/>
    <row r="90" s="37" customFormat="1" ht="24.95" customHeight="1"/>
    <row r="91" s="37" customFormat="1" ht="24.95" customHeight="1"/>
    <row r="92" s="37" customFormat="1" ht="24.95" customHeight="1"/>
    <row r="93" s="37" customFormat="1" ht="24.95" customHeight="1"/>
    <row r="94" s="51" customFormat="1" ht="24.95" customHeight="1"/>
    <row r="95" s="51" customFormat="1"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sheetData>
  <sheetProtection algorithmName="SHA-512" hashValue="FTtSKYs72ULgzvaUpGTn+C/+zYzRfcFQejjHCHU5LJ76IdDbHRQoSzzg0gauu6L/zlKr1IzUU+E4rFcYAY0YUw==" saltValue="Id4cx1KaB05nRZFlqIm4Jw==" spinCount="100000" sheet="1" objects="1" scenarios="1" selectLockedCells="1"/>
  <mergeCells count="293">
    <mergeCell ref="L35:M35"/>
    <mergeCell ref="N34:O34"/>
    <mergeCell ref="N35:O35"/>
    <mergeCell ref="R34:S34"/>
    <mergeCell ref="R35:S35"/>
    <mergeCell ref="P34:Q34"/>
    <mergeCell ref="P35:Q35"/>
    <mergeCell ref="V34:W34"/>
    <mergeCell ref="V35:W35"/>
    <mergeCell ref="V12:W12"/>
    <mergeCell ref="V13:W13"/>
    <mergeCell ref="X12:Y12"/>
    <mergeCell ref="X13:Y13"/>
    <mergeCell ref="Z12:AA12"/>
    <mergeCell ref="Z13:AA13"/>
    <mergeCell ref="T12:U12"/>
    <mergeCell ref="R12:S12"/>
    <mergeCell ref="P12:Q12"/>
    <mergeCell ref="P13:Q13"/>
    <mergeCell ref="R13:S13"/>
    <mergeCell ref="T13:U13"/>
    <mergeCell ref="N12:O12"/>
    <mergeCell ref="N13:O13"/>
    <mergeCell ref="T34:U34"/>
    <mergeCell ref="T35:U35"/>
    <mergeCell ref="D12:E12"/>
    <mergeCell ref="D13:E13"/>
    <mergeCell ref="B12:C12"/>
    <mergeCell ref="B13:C13"/>
    <mergeCell ref="F12:G12"/>
    <mergeCell ref="F13:G13"/>
    <mergeCell ref="H12:I12"/>
    <mergeCell ref="H13:I13"/>
    <mergeCell ref="J12:K12"/>
    <mergeCell ref="J13:K13"/>
    <mergeCell ref="L13:M13"/>
    <mergeCell ref="L12:M12"/>
    <mergeCell ref="J26:M26"/>
    <mergeCell ref="N26:O26"/>
    <mergeCell ref="P26:Q26"/>
    <mergeCell ref="R26:S26"/>
    <mergeCell ref="T26:U26"/>
    <mergeCell ref="J34:K34"/>
    <mergeCell ref="J35:K35"/>
    <mergeCell ref="L34:M34"/>
    <mergeCell ref="J27:M27"/>
    <mergeCell ref="J31:K32"/>
    <mergeCell ref="J28:U28"/>
    <mergeCell ref="J38:U38"/>
    <mergeCell ref="D6:E7"/>
    <mergeCell ref="F6:G7"/>
    <mergeCell ref="N6:O7"/>
    <mergeCell ref="P6:U6"/>
    <mergeCell ref="N8:O8"/>
    <mergeCell ref="P8:Q8"/>
    <mergeCell ref="T10:U10"/>
    <mergeCell ref="T14:U14"/>
    <mergeCell ref="T16:U16"/>
    <mergeCell ref="N25:O25"/>
    <mergeCell ref="P25:Q25"/>
    <mergeCell ref="R25:S25"/>
    <mergeCell ref="T25:U25"/>
    <mergeCell ref="J23:M24"/>
    <mergeCell ref="J25:M25"/>
    <mergeCell ref="L36:M36"/>
    <mergeCell ref="N36:O36"/>
    <mergeCell ref="P36:Q36"/>
    <mergeCell ref="J36:K36"/>
    <mergeCell ref="J33:K33"/>
    <mergeCell ref="B2:AA2"/>
    <mergeCell ref="R4:U4"/>
    <mergeCell ref="V4:W4"/>
    <mergeCell ref="X4:Y4"/>
    <mergeCell ref="B5:C7"/>
    <mergeCell ref="D5:G5"/>
    <mergeCell ref="H5:I7"/>
    <mergeCell ref="J5:K7"/>
    <mergeCell ref="L5:M7"/>
    <mergeCell ref="N5:U5"/>
    <mergeCell ref="J8:K8"/>
    <mergeCell ref="L8:M8"/>
    <mergeCell ref="R8:S8"/>
    <mergeCell ref="T8:U8"/>
    <mergeCell ref="V8:W8"/>
    <mergeCell ref="AD6:AE6"/>
    <mergeCell ref="AH6:AI6"/>
    <mergeCell ref="AK6:AL6"/>
    <mergeCell ref="AN6:AO6"/>
    <mergeCell ref="P7:Q7"/>
    <mergeCell ref="R7:S7"/>
    <mergeCell ref="T7:U7"/>
    <mergeCell ref="V5:W7"/>
    <mergeCell ref="X5:Y7"/>
    <mergeCell ref="Z5:AA7"/>
    <mergeCell ref="J10:K10"/>
    <mergeCell ref="L10:M10"/>
    <mergeCell ref="N10:O10"/>
    <mergeCell ref="P10:Q10"/>
    <mergeCell ref="R10:S10"/>
    <mergeCell ref="X8:Y8"/>
    <mergeCell ref="Z8:AA8"/>
    <mergeCell ref="B9:C9"/>
    <mergeCell ref="D9:E9"/>
    <mergeCell ref="F9:G9"/>
    <mergeCell ref="H9:I9"/>
    <mergeCell ref="J9:K9"/>
    <mergeCell ref="L9:M9"/>
    <mergeCell ref="N9:O9"/>
    <mergeCell ref="P9:Q9"/>
    <mergeCell ref="R9:S9"/>
    <mergeCell ref="T9:U9"/>
    <mergeCell ref="V9:W9"/>
    <mergeCell ref="X9:Y9"/>
    <mergeCell ref="Z9:AA9"/>
    <mergeCell ref="B8:C8"/>
    <mergeCell ref="D8:E8"/>
    <mergeCell ref="F8:G8"/>
    <mergeCell ref="H8:I8"/>
    <mergeCell ref="L14:M14"/>
    <mergeCell ref="N14:O14"/>
    <mergeCell ref="P14:Q14"/>
    <mergeCell ref="R14:S14"/>
    <mergeCell ref="V10:W10"/>
    <mergeCell ref="X10:Y10"/>
    <mergeCell ref="Z10:AA10"/>
    <mergeCell ref="B11:C11"/>
    <mergeCell ref="D11:E11"/>
    <mergeCell ref="F11:G11"/>
    <mergeCell ref="H11:I11"/>
    <mergeCell ref="J11:K11"/>
    <mergeCell ref="L11:M11"/>
    <mergeCell ref="N11:O11"/>
    <mergeCell ref="P11:Q11"/>
    <mergeCell ref="R11:S11"/>
    <mergeCell ref="T11:U11"/>
    <mergeCell ref="V11:W11"/>
    <mergeCell ref="X11:Y11"/>
    <mergeCell ref="Z11:AA11"/>
    <mergeCell ref="B10:C10"/>
    <mergeCell ref="D10:E10"/>
    <mergeCell ref="F10:G10"/>
    <mergeCell ref="H10:I10"/>
    <mergeCell ref="N16:O16"/>
    <mergeCell ref="P16:Q16"/>
    <mergeCell ref="R16:S16"/>
    <mergeCell ref="V14:W14"/>
    <mergeCell ref="X14:Y14"/>
    <mergeCell ref="Z14:AA14"/>
    <mergeCell ref="B15:C15"/>
    <mergeCell ref="D15:E15"/>
    <mergeCell ref="F15:G15"/>
    <mergeCell ref="H15:I15"/>
    <mergeCell ref="J15:K15"/>
    <mergeCell ref="L15:M15"/>
    <mergeCell ref="N15:O15"/>
    <mergeCell ref="P15:Q15"/>
    <mergeCell ref="R15:S15"/>
    <mergeCell ref="T15:U15"/>
    <mergeCell ref="V15:W15"/>
    <mergeCell ref="X15:Y15"/>
    <mergeCell ref="Z15:AA15"/>
    <mergeCell ref="B14:C14"/>
    <mergeCell ref="D14:E14"/>
    <mergeCell ref="F14:G14"/>
    <mergeCell ref="H14:I14"/>
    <mergeCell ref="J14:K14"/>
    <mergeCell ref="Z18:AA18"/>
    <mergeCell ref="X18:Y18"/>
    <mergeCell ref="V16:W16"/>
    <mergeCell ref="X16:Y16"/>
    <mergeCell ref="Z16:AA16"/>
    <mergeCell ref="B17:C17"/>
    <mergeCell ref="D17:E17"/>
    <mergeCell ref="F17:G17"/>
    <mergeCell ref="H17:I17"/>
    <mergeCell ref="J17:K17"/>
    <mergeCell ref="L17:M17"/>
    <mergeCell ref="N17:O17"/>
    <mergeCell ref="P17:Q17"/>
    <mergeCell ref="R17:S17"/>
    <mergeCell ref="T17:U17"/>
    <mergeCell ref="V17:W17"/>
    <mergeCell ref="X17:Y17"/>
    <mergeCell ref="Z17:AA17"/>
    <mergeCell ref="B16:C16"/>
    <mergeCell ref="D16:E16"/>
    <mergeCell ref="F16:G16"/>
    <mergeCell ref="H16:I16"/>
    <mergeCell ref="J16:K16"/>
    <mergeCell ref="L16:M16"/>
    <mergeCell ref="R18:S18"/>
    <mergeCell ref="T18:U18"/>
    <mergeCell ref="V18:W18"/>
    <mergeCell ref="B18:C18"/>
    <mergeCell ref="D18:E18"/>
    <mergeCell ref="F18:G18"/>
    <mergeCell ref="H18:I18"/>
    <mergeCell ref="J18:K18"/>
    <mergeCell ref="L18:M18"/>
    <mergeCell ref="N18:O18"/>
    <mergeCell ref="P18:Q18"/>
    <mergeCell ref="X19:Y19"/>
    <mergeCell ref="Z19:AA19"/>
    <mergeCell ref="B20:U20"/>
    <mergeCell ref="V20:W20"/>
    <mergeCell ref="X20:Y20"/>
    <mergeCell ref="Z20:AA20"/>
    <mergeCell ref="L19:M19"/>
    <mergeCell ref="N19:O19"/>
    <mergeCell ref="P19:Q19"/>
    <mergeCell ref="R19:S19"/>
    <mergeCell ref="B19:C19"/>
    <mergeCell ref="D19:E19"/>
    <mergeCell ref="F19:G19"/>
    <mergeCell ref="H19:I19"/>
    <mergeCell ref="J19:K19"/>
    <mergeCell ref="T19:U19"/>
    <mergeCell ref="V19:W19"/>
    <mergeCell ref="AN21:AO21"/>
    <mergeCell ref="N23:Q23"/>
    <mergeCell ref="R23:S24"/>
    <mergeCell ref="T23:U24"/>
    <mergeCell ref="V23:W24"/>
    <mergeCell ref="X23:Y24"/>
    <mergeCell ref="Z23:AA24"/>
    <mergeCell ref="AN23:AO23"/>
    <mergeCell ref="N24:O24"/>
    <mergeCell ref="P24:Q24"/>
    <mergeCell ref="V25:W25"/>
    <mergeCell ref="X25:Y25"/>
    <mergeCell ref="Z25:AA25"/>
    <mergeCell ref="N27:O27"/>
    <mergeCell ref="P27:Q27"/>
    <mergeCell ref="R27:S27"/>
    <mergeCell ref="T27:U27"/>
    <mergeCell ref="V27:W27"/>
    <mergeCell ref="X27:Y27"/>
    <mergeCell ref="Z27:AA27"/>
    <mergeCell ref="V26:W26"/>
    <mergeCell ref="X26:Y26"/>
    <mergeCell ref="Z26:AA26"/>
    <mergeCell ref="V28:W28"/>
    <mergeCell ref="X28:Y28"/>
    <mergeCell ref="Z28:AA28"/>
    <mergeCell ref="L31:M32"/>
    <mergeCell ref="N31:O32"/>
    <mergeCell ref="P31:Q32"/>
    <mergeCell ref="R31:S32"/>
    <mergeCell ref="T31:U32"/>
    <mergeCell ref="L33:M33"/>
    <mergeCell ref="N33:O33"/>
    <mergeCell ref="P33:Q33"/>
    <mergeCell ref="R33:S33"/>
    <mergeCell ref="T33:U33"/>
    <mergeCell ref="V33:W33"/>
    <mergeCell ref="X36:Y36"/>
    <mergeCell ref="Z36:AA36"/>
    <mergeCell ref="V31:W32"/>
    <mergeCell ref="X31:Y32"/>
    <mergeCell ref="Z31:AA32"/>
    <mergeCell ref="X33:Y33"/>
    <mergeCell ref="R37:S37"/>
    <mergeCell ref="T37:U37"/>
    <mergeCell ref="V37:W37"/>
    <mergeCell ref="Z33:AA33"/>
    <mergeCell ref="R36:S36"/>
    <mergeCell ref="T36:U36"/>
    <mergeCell ref="V36:W36"/>
    <mergeCell ref="X37:Y37"/>
    <mergeCell ref="Z37:AA37"/>
    <mergeCell ref="X34:Y34"/>
    <mergeCell ref="X35:Y35"/>
    <mergeCell ref="Z34:AA34"/>
    <mergeCell ref="Z35:AA35"/>
    <mergeCell ref="V38:W38"/>
    <mergeCell ref="X38:Y38"/>
    <mergeCell ref="Z38:AA38"/>
    <mergeCell ref="L37:M37"/>
    <mergeCell ref="N37:O37"/>
    <mergeCell ref="P37:Q37"/>
    <mergeCell ref="J37:K37"/>
    <mergeCell ref="D44:J44"/>
    <mergeCell ref="W44:Y44"/>
    <mergeCell ref="B41:C44"/>
    <mergeCell ref="D41:J41"/>
    <mergeCell ref="L41:N41"/>
    <mergeCell ref="Q41:R41"/>
    <mergeCell ref="U41:V41"/>
    <mergeCell ref="Y41:Z41"/>
    <mergeCell ref="D42:J42"/>
    <mergeCell ref="W42:Y42"/>
    <mergeCell ref="D43:J43"/>
    <mergeCell ref="W43:Y43"/>
  </mergeCells>
  <phoneticPr fontId="2"/>
  <conditionalFormatting sqref="V20:W20">
    <cfRule type="expression" dxfId="224" priority="52" stopIfTrue="1">
      <formula>$V$20=0</formula>
    </cfRule>
  </conditionalFormatting>
  <conditionalFormatting sqref="X20:Y20">
    <cfRule type="expression" dxfId="223" priority="51" stopIfTrue="1">
      <formula>$X$20=0</formula>
    </cfRule>
  </conditionalFormatting>
  <conditionalFormatting sqref="Z20:AA20">
    <cfRule type="expression" dxfId="222" priority="50" stopIfTrue="1">
      <formula>$Z$20=0</formula>
    </cfRule>
  </conditionalFormatting>
  <conditionalFormatting sqref="V28:W28">
    <cfRule type="expression" dxfId="221" priority="49" stopIfTrue="1">
      <formula>$V$28:$W$28=0</formula>
    </cfRule>
  </conditionalFormatting>
  <conditionalFormatting sqref="V38:W38">
    <cfRule type="expression" dxfId="220" priority="48" stopIfTrue="1">
      <formula>$V$38:$W$38=0</formula>
    </cfRule>
  </conditionalFormatting>
  <conditionalFormatting sqref="Y41:Z41">
    <cfRule type="expression" dxfId="219" priority="47" stopIfTrue="1">
      <formula>$Y$41=0</formula>
    </cfRule>
  </conditionalFormatting>
  <conditionalFormatting sqref="Q41:R41">
    <cfRule type="expression" dxfId="218" priority="46" stopIfTrue="1">
      <formula>$Q$41=0</formula>
    </cfRule>
  </conditionalFormatting>
  <conditionalFormatting sqref="U41:V41">
    <cfRule type="expression" dxfId="217" priority="45" stopIfTrue="1">
      <formula>$U$41=0</formula>
    </cfRule>
  </conditionalFormatting>
  <conditionalFormatting sqref="L41:N41">
    <cfRule type="expression" dxfId="216" priority="44" stopIfTrue="1">
      <formula>$L$41=0</formula>
    </cfRule>
  </conditionalFormatting>
  <conditionalFormatting sqref="X8:Y8">
    <cfRule type="expression" dxfId="215" priority="42" stopIfTrue="1">
      <formula>#VALUE!</formula>
    </cfRule>
    <cfRule type="expression" dxfId="214" priority="43" stopIfTrue="1">
      <formula>#VALUE!</formula>
    </cfRule>
  </conditionalFormatting>
  <conditionalFormatting sqref="X19:Y19">
    <cfRule type="expression" dxfId="213" priority="41" stopIfTrue="1">
      <formula>#VALUE!</formula>
    </cfRule>
  </conditionalFormatting>
  <conditionalFormatting sqref="X8:Y8">
    <cfRule type="expression" dxfId="212" priority="29" stopIfTrue="1">
      <formula>#VALUE!</formula>
    </cfRule>
    <cfRule type="expression" dxfId="211" priority="30" stopIfTrue="1">
      <formula>#VALUE!</formula>
    </cfRule>
  </conditionalFormatting>
  <conditionalFormatting sqref="X19:Y19">
    <cfRule type="expression" dxfId="210" priority="28" stopIfTrue="1">
      <formula>#VALUE!</formula>
    </cfRule>
  </conditionalFormatting>
  <conditionalFormatting sqref="X28:Y28">
    <cfRule type="expression" dxfId="209" priority="27" stopIfTrue="1">
      <formula>$X$28:$Y$28=0</formula>
    </cfRule>
  </conditionalFormatting>
  <conditionalFormatting sqref="Z28:AA28">
    <cfRule type="expression" dxfId="208" priority="26" stopIfTrue="1">
      <formula>$Z$28:$AA$28=0</formula>
    </cfRule>
  </conditionalFormatting>
  <conditionalFormatting sqref="X38:Y38">
    <cfRule type="expression" dxfId="207" priority="25" stopIfTrue="1">
      <formula>$X$38:$Y$38=0</formula>
    </cfRule>
  </conditionalFormatting>
  <conditionalFormatting sqref="Z38:AA38">
    <cfRule type="expression" dxfId="206" priority="24" stopIfTrue="1">
      <formula>$Z$38:$AA$38=0</formula>
    </cfRule>
  </conditionalFormatting>
  <conditionalFormatting sqref="P8:U8">
    <cfRule type="expression" dxfId="205" priority="13" stopIfTrue="1">
      <formula>$AG$8=TRUE</formula>
    </cfRule>
  </conditionalFormatting>
  <conditionalFormatting sqref="P15:U15">
    <cfRule type="expression" dxfId="204" priority="12" stopIfTrue="1">
      <formula>$AG$15=TRUE</formula>
    </cfRule>
  </conditionalFormatting>
  <conditionalFormatting sqref="P16:U16">
    <cfRule type="expression" dxfId="203" priority="11" stopIfTrue="1">
      <formula>$AG$16=TRUE</formula>
    </cfRule>
  </conditionalFormatting>
  <conditionalFormatting sqref="P17:U17">
    <cfRule type="expression" dxfId="202" priority="10" stopIfTrue="1">
      <formula>$AG$17=TRUE</formula>
    </cfRule>
  </conditionalFormatting>
  <conditionalFormatting sqref="P18:U18">
    <cfRule type="expression" dxfId="201" priority="9" stopIfTrue="1">
      <formula>$AG$18=TRUE</formula>
    </cfRule>
  </conditionalFormatting>
  <conditionalFormatting sqref="P19:U19">
    <cfRule type="expression" dxfId="200" priority="8" stopIfTrue="1">
      <formula>$AG$19=TRUE</formula>
    </cfRule>
  </conditionalFormatting>
  <conditionalFormatting sqref="P10:U10">
    <cfRule type="expression" dxfId="199" priority="7" stopIfTrue="1">
      <formula>$AG$10=TRUE</formula>
    </cfRule>
  </conditionalFormatting>
  <conditionalFormatting sqref="P14:U14">
    <cfRule type="expression" dxfId="198" priority="5" stopIfTrue="1">
      <formula>$AG$14=TRUE</formula>
    </cfRule>
  </conditionalFormatting>
  <conditionalFormatting sqref="P9:U9">
    <cfRule type="expression" dxfId="197" priority="4" stopIfTrue="1">
      <formula>$AG$9=TRUE</formula>
    </cfRule>
  </conditionalFormatting>
  <conditionalFormatting sqref="P12:U12">
    <cfRule type="expression" dxfId="196" priority="3">
      <formula>$AG$12=TRUE</formula>
    </cfRule>
  </conditionalFormatting>
  <conditionalFormatting sqref="P13:U13">
    <cfRule type="expression" dxfId="195" priority="2">
      <formula>$AG$13=TRUE</formula>
    </cfRule>
  </conditionalFormatting>
  <conditionalFormatting sqref="P11:U11">
    <cfRule type="expression" dxfId="194" priority="1">
      <formula>$AG$11=TRUE</formula>
    </cfRule>
  </conditionalFormatting>
  <dataValidations count="1">
    <dataValidation type="list" allowBlank="1" showInputMessage="1" showErrorMessage="1" sqref="M8:M11 L8:L19 M14:M19 T25:T27 U25 U27">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89" orientation="portrait" horizontalDpi="300" verticalDpi="300" r:id="rId1"/>
  <headerFooter>
    <oddHeader>&amp;Rver. 1.7[H28]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425" r:id="rId4" name="Check Box 1">
              <controlPr defaultSize="0" autoFill="0" autoLine="0" autoPict="0">
                <anchor moveWithCells="1">
                  <from>
                    <xdr:col>13</xdr:col>
                    <xdr:colOff>190500</xdr:colOff>
                    <xdr:row>7</xdr:row>
                    <xdr:rowOff>47625</xdr:rowOff>
                  </from>
                  <to>
                    <xdr:col>14</xdr:col>
                    <xdr:colOff>200025</xdr:colOff>
                    <xdr:row>7</xdr:row>
                    <xdr:rowOff>257175</xdr:rowOff>
                  </to>
                </anchor>
              </controlPr>
            </control>
          </mc:Choice>
        </mc:AlternateContent>
        <mc:AlternateContent xmlns:mc="http://schemas.openxmlformats.org/markup-compatibility/2006">
          <mc:Choice Requires="x14">
            <control shapeId="103426" r:id="rId5" name="Check Box 2">
              <controlPr defaultSize="0" autoFill="0" autoLine="0" autoPict="0">
                <anchor moveWithCells="1">
                  <from>
                    <xdr:col>13</xdr:col>
                    <xdr:colOff>190500</xdr:colOff>
                    <xdr:row>8</xdr:row>
                    <xdr:rowOff>47625</xdr:rowOff>
                  </from>
                  <to>
                    <xdr:col>14</xdr:col>
                    <xdr:colOff>200025</xdr:colOff>
                    <xdr:row>8</xdr:row>
                    <xdr:rowOff>257175</xdr:rowOff>
                  </to>
                </anchor>
              </controlPr>
            </control>
          </mc:Choice>
        </mc:AlternateContent>
        <mc:AlternateContent xmlns:mc="http://schemas.openxmlformats.org/markup-compatibility/2006">
          <mc:Choice Requires="x14">
            <control shapeId="103427" r:id="rId6" name="Check Box 3">
              <controlPr defaultSize="0" autoFill="0" autoLine="0" autoPict="0">
                <anchor moveWithCells="1">
                  <from>
                    <xdr:col>13</xdr:col>
                    <xdr:colOff>190500</xdr:colOff>
                    <xdr:row>14</xdr:row>
                    <xdr:rowOff>47625</xdr:rowOff>
                  </from>
                  <to>
                    <xdr:col>14</xdr:col>
                    <xdr:colOff>200025</xdr:colOff>
                    <xdr:row>14</xdr:row>
                    <xdr:rowOff>257175</xdr:rowOff>
                  </to>
                </anchor>
              </controlPr>
            </control>
          </mc:Choice>
        </mc:AlternateContent>
        <mc:AlternateContent xmlns:mc="http://schemas.openxmlformats.org/markup-compatibility/2006">
          <mc:Choice Requires="x14">
            <control shapeId="103428" r:id="rId7" name="Check Box 4">
              <controlPr defaultSize="0" autoFill="0" autoLine="0" autoPict="0">
                <anchor moveWithCells="1">
                  <from>
                    <xdr:col>13</xdr:col>
                    <xdr:colOff>190500</xdr:colOff>
                    <xdr:row>15</xdr:row>
                    <xdr:rowOff>47625</xdr:rowOff>
                  </from>
                  <to>
                    <xdr:col>14</xdr:col>
                    <xdr:colOff>200025</xdr:colOff>
                    <xdr:row>15</xdr:row>
                    <xdr:rowOff>257175</xdr:rowOff>
                  </to>
                </anchor>
              </controlPr>
            </control>
          </mc:Choice>
        </mc:AlternateContent>
        <mc:AlternateContent xmlns:mc="http://schemas.openxmlformats.org/markup-compatibility/2006">
          <mc:Choice Requires="x14">
            <control shapeId="103429" r:id="rId8" name="Check Box 5">
              <controlPr defaultSize="0" autoFill="0" autoLine="0" autoPict="0">
                <anchor moveWithCells="1">
                  <from>
                    <xdr:col>13</xdr:col>
                    <xdr:colOff>190500</xdr:colOff>
                    <xdr:row>16</xdr:row>
                    <xdr:rowOff>47625</xdr:rowOff>
                  </from>
                  <to>
                    <xdr:col>14</xdr:col>
                    <xdr:colOff>200025</xdr:colOff>
                    <xdr:row>16</xdr:row>
                    <xdr:rowOff>257175</xdr:rowOff>
                  </to>
                </anchor>
              </controlPr>
            </control>
          </mc:Choice>
        </mc:AlternateContent>
        <mc:AlternateContent xmlns:mc="http://schemas.openxmlformats.org/markup-compatibility/2006">
          <mc:Choice Requires="x14">
            <control shapeId="103430" r:id="rId9" name="Check Box 6">
              <controlPr defaultSize="0" autoFill="0" autoLine="0" autoPict="0">
                <anchor moveWithCells="1">
                  <from>
                    <xdr:col>13</xdr:col>
                    <xdr:colOff>190500</xdr:colOff>
                    <xdr:row>17</xdr:row>
                    <xdr:rowOff>47625</xdr:rowOff>
                  </from>
                  <to>
                    <xdr:col>14</xdr:col>
                    <xdr:colOff>200025</xdr:colOff>
                    <xdr:row>17</xdr:row>
                    <xdr:rowOff>257175</xdr:rowOff>
                  </to>
                </anchor>
              </controlPr>
            </control>
          </mc:Choice>
        </mc:AlternateContent>
        <mc:AlternateContent xmlns:mc="http://schemas.openxmlformats.org/markup-compatibility/2006">
          <mc:Choice Requires="x14">
            <control shapeId="103431" r:id="rId10" name="Check Box 7">
              <controlPr defaultSize="0" autoFill="0" autoLine="0" autoPict="0">
                <anchor moveWithCells="1">
                  <from>
                    <xdr:col>13</xdr:col>
                    <xdr:colOff>190500</xdr:colOff>
                    <xdr:row>18</xdr:row>
                    <xdr:rowOff>47625</xdr:rowOff>
                  </from>
                  <to>
                    <xdr:col>14</xdr:col>
                    <xdr:colOff>200025</xdr:colOff>
                    <xdr:row>18</xdr:row>
                    <xdr:rowOff>257175</xdr:rowOff>
                  </to>
                </anchor>
              </controlPr>
            </control>
          </mc:Choice>
        </mc:AlternateContent>
        <mc:AlternateContent xmlns:mc="http://schemas.openxmlformats.org/markup-compatibility/2006">
          <mc:Choice Requires="x14">
            <control shapeId="103432" r:id="rId11" name="Check Box 8">
              <controlPr defaultSize="0" autoFill="0" autoLine="0" autoPict="0">
                <anchor moveWithCells="1">
                  <from>
                    <xdr:col>13</xdr:col>
                    <xdr:colOff>190500</xdr:colOff>
                    <xdr:row>9</xdr:row>
                    <xdr:rowOff>47625</xdr:rowOff>
                  </from>
                  <to>
                    <xdr:col>14</xdr:col>
                    <xdr:colOff>200025</xdr:colOff>
                    <xdr:row>9</xdr:row>
                    <xdr:rowOff>257175</xdr:rowOff>
                  </to>
                </anchor>
              </controlPr>
            </control>
          </mc:Choice>
        </mc:AlternateContent>
        <mc:AlternateContent xmlns:mc="http://schemas.openxmlformats.org/markup-compatibility/2006">
          <mc:Choice Requires="x14">
            <control shapeId="103433" r:id="rId12" name="Check Box 9">
              <controlPr defaultSize="0" autoFill="0" autoLine="0" autoPict="0">
                <anchor moveWithCells="1">
                  <from>
                    <xdr:col>13</xdr:col>
                    <xdr:colOff>190500</xdr:colOff>
                    <xdr:row>10</xdr:row>
                    <xdr:rowOff>47625</xdr:rowOff>
                  </from>
                  <to>
                    <xdr:col>14</xdr:col>
                    <xdr:colOff>200025</xdr:colOff>
                    <xdr:row>10</xdr:row>
                    <xdr:rowOff>257175</xdr:rowOff>
                  </to>
                </anchor>
              </controlPr>
            </control>
          </mc:Choice>
        </mc:AlternateContent>
        <mc:AlternateContent xmlns:mc="http://schemas.openxmlformats.org/markup-compatibility/2006">
          <mc:Choice Requires="x14">
            <control shapeId="103434" r:id="rId13" name="Check Box 10">
              <controlPr defaultSize="0" autoFill="0" autoLine="0" autoPict="0">
                <anchor moveWithCells="1">
                  <from>
                    <xdr:col>13</xdr:col>
                    <xdr:colOff>190500</xdr:colOff>
                    <xdr:row>13</xdr:row>
                    <xdr:rowOff>47625</xdr:rowOff>
                  </from>
                  <to>
                    <xdr:col>14</xdr:col>
                    <xdr:colOff>200025</xdr:colOff>
                    <xdr:row>13</xdr:row>
                    <xdr:rowOff>257175</xdr:rowOff>
                  </to>
                </anchor>
              </controlPr>
            </control>
          </mc:Choice>
        </mc:AlternateContent>
        <mc:AlternateContent xmlns:mc="http://schemas.openxmlformats.org/markup-compatibility/2006">
          <mc:Choice Requires="x14">
            <control shapeId="103446" r:id="rId14" name="Check Box 22">
              <controlPr defaultSize="0" autoFill="0" autoLine="0" autoPict="0">
                <anchor moveWithCells="1">
                  <from>
                    <xdr:col>19</xdr:col>
                    <xdr:colOff>190500</xdr:colOff>
                    <xdr:row>32</xdr:row>
                    <xdr:rowOff>47625</xdr:rowOff>
                  </from>
                  <to>
                    <xdr:col>20</xdr:col>
                    <xdr:colOff>200025</xdr:colOff>
                    <xdr:row>32</xdr:row>
                    <xdr:rowOff>257175</xdr:rowOff>
                  </to>
                </anchor>
              </controlPr>
            </control>
          </mc:Choice>
        </mc:AlternateContent>
        <mc:AlternateContent xmlns:mc="http://schemas.openxmlformats.org/markup-compatibility/2006">
          <mc:Choice Requires="x14">
            <control shapeId="103447" r:id="rId15" name="Check Box 23">
              <controlPr defaultSize="0" autoFill="0" autoLine="0" autoPict="0">
                <anchor moveWithCells="1">
                  <from>
                    <xdr:col>19</xdr:col>
                    <xdr:colOff>190500</xdr:colOff>
                    <xdr:row>35</xdr:row>
                    <xdr:rowOff>47625</xdr:rowOff>
                  </from>
                  <to>
                    <xdr:col>20</xdr:col>
                    <xdr:colOff>200025</xdr:colOff>
                    <xdr:row>35</xdr:row>
                    <xdr:rowOff>257175</xdr:rowOff>
                  </to>
                </anchor>
              </controlPr>
            </control>
          </mc:Choice>
        </mc:AlternateContent>
        <mc:AlternateContent xmlns:mc="http://schemas.openxmlformats.org/markup-compatibility/2006">
          <mc:Choice Requires="x14">
            <control shapeId="103448" r:id="rId16" name="Check Box 24">
              <controlPr defaultSize="0" autoFill="0" autoLine="0" autoPict="0">
                <anchor moveWithCells="1">
                  <from>
                    <xdr:col>19</xdr:col>
                    <xdr:colOff>190500</xdr:colOff>
                    <xdr:row>36</xdr:row>
                    <xdr:rowOff>47625</xdr:rowOff>
                  </from>
                  <to>
                    <xdr:col>20</xdr:col>
                    <xdr:colOff>200025</xdr:colOff>
                    <xdr:row>36</xdr:row>
                    <xdr:rowOff>257175</xdr:rowOff>
                  </to>
                </anchor>
              </controlPr>
            </control>
          </mc:Choice>
        </mc:AlternateContent>
        <mc:AlternateContent xmlns:mc="http://schemas.openxmlformats.org/markup-compatibility/2006">
          <mc:Choice Requires="x14">
            <control shapeId="103457" r:id="rId17" name="Check Box 33">
              <controlPr defaultSize="0" autoFill="0" autoLine="0" autoPict="0">
                <anchor moveWithCells="1">
                  <from>
                    <xdr:col>13</xdr:col>
                    <xdr:colOff>190500</xdr:colOff>
                    <xdr:row>11</xdr:row>
                    <xdr:rowOff>47625</xdr:rowOff>
                  </from>
                  <to>
                    <xdr:col>14</xdr:col>
                    <xdr:colOff>200025</xdr:colOff>
                    <xdr:row>11</xdr:row>
                    <xdr:rowOff>257175</xdr:rowOff>
                  </to>
                </anchor>
              </controlPr>
            </control>
          </mc:Choice>
        </mc:AlternateContent>
        <mc:AlternateContent xmlns:mc="http://schemas.openxmlformats.org/markup-compatibility/2006">
          <mc:Choice Requires="x14">
            <control shapeId="103458" r:id="rId18" name="Check Box 34">
              <controlPr defaultSize="0" autoFill="0" autoLine="0" autoPict="0">
                <anchor moveWithCells="1">
                  <from>
                    <xdr:col>13</xdr:col>
                    <xdr:colOff>190500</xdr:colOff>
                    <xdr:row>12</xdr:row>
                    <xdr:rowOff>47625</xdr:rowOff>
                  </from>
                  <to>
                    <xdr:col>14</xdr:col>
                    <xdr:colOff>200025</xdr:colOff>
                    <xdr:row>12</xdr:row>
                    <xdr:rowOff>257175</xdr:rowOff>
                  </to>
                </anchor>
              </controlPr>
            </control>
          </mc:Choice>
        </mc:AlternateContent>
        <mc:AlternateContent xmlns:mc="http://schemas.openxmlformats.org/markup-compatibility/2006">
          <mc:Choice Requires="x14">
            <control shapeId="103459" r:id="rId19" name="Check Box 35">
              <controlPr defaultSize="0" autoFill="0" autoLine="0" autoPict="0">
                <anchor moveWithCells="1">
                  <from>
                    <xdr:col>19</xdr:col>
                    <xdr:colOff>190500</xdr:colOff>
                    <xdr:row>33</xdr:row>
                    <xdr:rowOff>47625</xdr:rowOff>
                  </from>
                  <to>
                    <xdr:col>20</xdr:col>
                    <xdr:colOff>200025</xdr:colOff>
                    <xdr:row>33</xdr:row>
                    <xdr:rowOff>257175</xdr:rowOff>
                  </to>
                </anchor>
              </controlPr>
            </control>
          </mc:Choice>
        </mc:AlternateContent>
        <mc:AlternateContent xmlns:mc="http://schemas.openxmlformats.org/markup-compatibility/2006">
          <mc:Choice Requires="x14">
            <control shapeId="103460" r:id="rId20" name="Check Box 36">
              <controlPr defaultSize="0" autoFill="0" autoLine="0" autoPict="0">
                <anchor moveWithCells="1">
                  <from>
                    <xdr:col>19</xdr:col>
                    <xdr:colOff>190500</xdr:colOff>
                    <xdr:row>34</xdr:row>
                    <xdr:rowOff>47625</xdr:rowOff>
                  </from>
                  <to>
                    <xdr:col>20</xdr:col>
                    <xdr:colOff>200025</xdr:colOff>
                    <xdr:row>34</xdr:row>
                    <xdr:rowOff>257175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B1:AO106"/>
  <sheetViews>
    <sheetView showGridLines="0" view="pageBreakPreview" zoomScaleNormal="100" zoomScaleSheetLayoutView="100" workbookViewId="0">
      <selection activeCell="J8" sqref="J8:K13"/>
    </sheetView>
  </sheetViews>
  <sheetFormatPr defaultRowHeight="13.5"/>
  <cols>
    <col min="1" max="1" width="0.875" style="52" customWidth="1"/>
    <col min="2" max="29" width="3.875" style="52" customWidth="1"/>
    <col min="30" max="31" width="10.625" style="52" hidden="1" customWidth="1"/>
    <col min="32" max="32" width="2.625" style="52" hidden="1" customWidth="1"/>
    <col min="33" max="35" width="10.625" style="52" hidden="1" customWidth="1"/>
    <col min="36" max="36" width="2.625" style="52" hidden="1" customWidth="1"/>
    <col min="37" max="38" width="15.625" style="52" hidden="1" customWidth="1"/>
    <col min="39" max="39" width="2.625" style="52" hidden="1" customWidth="1"/>
    <col min="40" max="41" width="10.625" style="52" hidden="1" customWidth="1"/>
    <col min="42" max="43" width="3.625" style="52" customWidth="1"/>
    <col min="44" max="49" width="4.625" style="52" customWidth="1"/>
    <col min="50" max="16384" width="9" style="52"/>
  </cols>
  <sheetData>
    <row r="1" spans="2:41" ht="3.95" customHeight="1"/>
    <row r="2" spans="2:41" s="36" customFormat="1" ht="30" customHeight="1">
      <c r="B2" s="447" t="s">
        <v>112</v>
      </c>
      <c r="C2" s="447"/>
      <c r="D2" s="447"/>
      <c r="E2" s="447"/>
      <c r="F2" s="447"/>
      <c r="G2" s="447"/>
      <c r="H2" s="447"/>
      <c r="I2" s="447"/>
      <c r="J2" s="447"/>
      <c r="K2" s="447"/>
      <c r="L2" s="447"/>
      <c r="M2" s="447"/>
      <c r="N2" s="447"/>
      <c r="O2" s="447"/>
      <c r="P2" s="447"/>
      <c r="Q2" s="447"/>
      <c r="R2" s="447"/>
      <c r="S2" s="447"/>
      <c r="T2" s="447"/>
      <c r="U2" s="447"/>
      <c r="V2" s="447"/>
      <c r="W2" s="447"/>
      <c r="X2" s="447"/>
      <c r="Y2" s="447"/>
      <c r="Z2" s="447"/>
      <c r="AA2" s="447"/>
    </row>
    <row r="3" spans="2:41" s="37" customFormat="1" ht="24.95" customHeight="1" thickBot="1"/>
    <row r="4" spans="2:41" s="37" customFormat="1" ht="21.95" customHeight="1" thickBot="1">
      <c r="B4" s="38" t="s">
        <v>5</v>
      </c>
      <c r="R4" s="448" t="s">
        <v>35</v>
      </c>
      <c r="S4" s="449"/>
      <c r="T4" s="449"/>
      <c r="U4" s="450"/>
      <c r="V4" s="502">
        <f>IF(共通条件・結果!AA7="８地域","0.480",IF(共通条件・結果!AA7="７地域",0.412,IF(共通条件・結果!AA7="６地域",0.434,IF(共通条件・結果!AA7="５地域",0.472,IF(共通条件・結果!AA7="４地域",0.437,IF(共通条件・結果!AA7="３地域",0.476,IF(共通条件・結果!AA7="２地域",0.507,IF(共通条件・結果!AA7="１地域",0.502))))))))</f>
        <v>0.434</v>
      </c>
      <c r="W4" s="503"/>
      <c r="X4" s="502">
        <f>IF(共通条件・結果!AA7="８地域","-",IF(共通条件・結果!AA7="７地域",1.023,IF(共通条件・結果!AA7="６地域",0.936,IF(共通条件・結果!AA7="５地域",0.983,IF(共通条件・結果!AA7="４地域",0.815,IF(共通条件・結果!AA7="３地域",0.851,IF(共通条件・結果!AA7="２地域",0.856,IF(共通条件・結果!AA7="１地域",0.935))))))))</f>
        <v>0.93600000000000005</v>
      </c>
      <c r="Y4" s="503"/>
    </row>
    <row r="5" spans="2:41" s="37" customFormat="1" ht="21.95" customHeight="1">
      <c r="B5" s="453" t="s">
        <v>6</v>
      </c>
      <c r="C5" s="361"/>
      <c r="D5" s="361" t="s">
        <v>91</v>
      </c>
      <c r="E5" s="361"/>
      <c r="F5" s="361"/>
      <c r="G5" s="361"/>
      <c r="H5" s="361" t="s">
        <v>7</v>
      </c>
      <c r="I5" s="361"/>
      <c r="J5" s="360" t="s">
        <v>99</v>
      </c>
      <c r="K5" s="361"/>
      <c r="L5" s="360" t="s">
        <v>10</v>
      </c>
      <c r="M5" s="361"/>
      <c r="N5" s="456" t="s">
        <v>71</v>
      </c>
      <c r="O5" s="457"/>
      <c r="P5" s="457"/>
      <c r="Q5" s="457"/>
      <c r="R5" s="457"/>
      <c r="S5" s="457"/>
      <c r="T5" s="457"/>
      <c r="U5" s="457"/>
      <c r="V5" s="360" t="s">
        <v>66</v>
      </c>
      <c r="W5" s="361"/>
      <c r="X5" s="360" t="s">
        <v>67</v>
      </c>
      <c r="Y5" s="361"/>
      <c r="Z5" s="361" t="s">
        <v>13</v>
      </c>
      <c r="AA5" s="363"/>
    </row>
    <row r="6" spans="2:41" s="37" customFormat="1" ht="21.95" customHeight="1">
      <c r="B6" s="454"/>
      <c r="C6" s="443"/>
      <c r="D6" s="469" t="s">
        <v>9</v>
      </c>
      <c r="E6" s="470"/>
      <c r="F6" s="473" t="s">
        <v>8</v>
      </c>
      <c r="G6" s="474"/>
      <c r="H6" s="443"/>
      <c r="I6" s="443"/>
      <c r="J6" s="442"/>
      <c r="K6" s="443"/>
      <c r="L6" s="442"/>
      <c r="M6" s="443"/>
      <c r="N6" s="476" t="s">
        <v>69</v>
      </c>
      <c r="O6" s="477"/>
      <c r="P6" s="479" t="s">
        <v>70</v>
      </c>
      <c r="Q6" s="480"/>
      <c r="R6" s="480"/>
      <c r="S6" s="480"/>
      <c r="T6" s="480"/>
      <c r="U6" s="481"/>
      <c r="V6" s="442"/>
      <c r="W6" s="443"/>
      <c r="X6" s="442"/>
      <c r="Y6" s="443"/>
      <c r="Z6" s="443"/>
      <c r="AA6" s="444"/>
      <c r="AD6" s="401" t="s">
        <v>74</v>
      </c>
      <c r="AE6" s="401"/>
      <c r="AF6" s="39"/>
      <c r="AG6" s="39"/>
      <c r="AH6" s="401" t="s">
        <v>14</v>
      </c>
      <c r="AI6" s="401"/>
      <c r="AJ6" s="39"/>
      <c r="AK6" s="401" t="s">
        <v>75</v>
      </c>
      <c r="AL6" s="401"/>
      <c r="AN6" s="401" t="s">
        <v>89</v>
      </c>
      <c r="AO6" s="401"/>
    </row>
    <row r="7" spans="2:41" s="37" customFormat="1" ht="21.95" customHeight="1" thickBot="1">
      <c r="B7" s="455"/>
      <c r="C7" s="362"/>
      <c r="D7" s="471"/>
      <c r="E7" s="472"/>
      <c r="F7" s="475"/>
      <c r="G7" s="438"/>
      <c r="H7" s="362"/>
      <c r="I7" s="362"/>
      <c r="J7" s="362"/>
      <c r="K7" s="362"/>
      <c r="L7" s="362"/>
      <c r="M7" s="362"/>
      <c r="N7" s="378"/>
      <c r="O7" s="478"/>
      <c r="P7" s="438" t="s">
        <v>11</v>
      </c>
      <c r="Q7" s="439"/>
      <c r="R7" s="440" t="s">
        <v>12</v>
      </c>
      <c r="S7" s="441"/>
      <c r="T7" s="438" t="s">
        <v>3</v>
      </c>
      <c r="U7" s="439"/>
      <c r="V7" s="362"/>
      <c r="W7" s="362"/>
      <c r="X7" s="362"/>
      <c r="Y7" s="362"/>
      <c r="Z7" s="362"/>
      <c r="AA7" s="364"/>
      <c r="AD7" s="39" t="s">
        <v>4</v>
      </c>
      <c r="AE7" s="39" t="s">
        <v>18</v>
      </c>
      <c r="AF7" s="39"/>
      <c r="AG7" s="39"/>
      <c r="AH7" s="39" t="s">
        <v>4</v>
      </c>
      <c r="AI7" s="39" t="s">
        <v>18</v>
      </c>
      <c r="AJ7" s="39"/>
      <c r="AK7" s="39" t="s">
        <v>4</v>
      </c>
      <c r="AL7" s="39" t="s">
        <v>18</v>
      </c>
      <c r="AN7" s="97" t="s">
        <v>87</v>
      </c>
      <c r="AO7" s="37" t="s">
        <v>85</v>
      </c>
    </row>
    <row r="8" spans="2:41" s="37" customFormat="1" ht="21.95" customHeight="1">
      <c r="B8" s="433"/>
      <c r="C8" s="434"/>
      <c r="D8" s="435">
        <v>1.65</v>
      </c>
      <c r="E8" s="436"/>
      <c r="F8" s="436">
        <v>2.1</v>
      </c>
      <c r="G8" s="437"/>
      <c r="H8" s="392">
        <v>3.49</v>
      </c>
      <c r="I8" s="392"/>
      <c r="J8" s="392">
        <v>0.46</v>
      </c>
      <c r="K8" s="392"/>
      <c r="L8" s="410"/>
      <c r="M8" s="410"/>
      <c r="N8" s="482"/>
      <c r="O8" s="483"/>
      <c r="P8" s="461"/>
      <c r="Q8" s="484"/>
      <c r="R8" s="458"/>
      <c r="S8" s="459"/>
      <c r="T8" s="460"/>
      <c r="U8" s="461"/>
      <c r="V8" s="462">
        <f>IF(D8="","",AD8)</f>
        <v>0.64332991800000006</v>
      </c>
      <c r="W8" s="462"/>
      <c r="X8" s="462">
        <f t="shared" ref="X8:X19" si="0">IF(D8="","",IF(ISERROR(AE8),"-",AE8))</f>
        <v>0.76086410400000015</v>
      </c>
      <c r="Y8" s="462"/>
      <c r="Z8" s="462">
        <f>IF(D8="","",D8*F8*AN8)</f>
        <v>12.09285</v>
      </c>
      <c r="AA8" s="463"/>
      <c r="AD8" s="37">
        <f>D8*F8*J8*$V$4*AH8</f>
        <v>0.64332991800000006</v>
      </c>
      <c r="AE8" s="37">
        <f>D8*F8*J8*$X$4*AI8</f>
        <v>0.76086410400000015</v>
      </c>
      <c r="AG8" s="40" t="b">
        <v>1</v>
      </c>
      <c r="AH8" s="37" t="str">
        <f>IF(AG8=TRUE,"0.93",IF(ISERROR(AK8),"エラー",IF(AK8&gt;0.93,"0.93",AK8)))</f>
        <v>0.93</v>
      </c>
      <c r="AI8" s="37" t="str">
        <f>IF(AG8=TRUE,"0.51",IF(ISERROR(AL8),"エラー",IF(AL8&gt;0.72,"0.72",AL8)))</f>
        <v>0.51</v>
      </c>
      <c r="AK8" s="37" t="e">
        <f>IF(共通条件・結果!$AA$7="８（Ⅵ）",0.01*(16+19*(2*R8+T8)/P8),0.01*(24+9*(3*R8+T8)/P8))</f>
        <v>#DIV/0!</v>
      </c>
      <c r="AL8" s="37" t="e">
        <f>0.01*(5+20*(3*R8+T8)/P8)</f>
        <v>#DIV/0!</v>
      </c>
      <c r="AN8" s="37">
        <f>IF(共通条件・結果!$AA$7="８地域",H8,IF(AO8="FALSE",H8,IF(L8="風除室",1/((1/H8)+0.1),0.5*H8+0.5*(1/((1/H8)+AO8)))))</f>
        <v>3.49</v>
      </c>
      <c r="AO8" s="39" t="str">
        <f t="shared" ref="AO8:AO19" si="1">IF(L8="","FALSE",IF(L8="雨戸",0.1,IF(L8="ｼｬｯﾀｰ",0.1,IF(L8="障子",0.18,IF(L8="風除室",0.1)))))</f>
        <v>FALSE</v>
      </c>
    </row>
    <row r="9" spans="2:41" s="37" customFormat="1" ht="21.95" customHeight="1">
      <c r="B9" s="419"/>
      <c r="C9" s="420"/>
      <c r="D9" s="421">
        <v>1.65</v>
      </c>
      <c r="E9" s="422"/>
      <c r="F9" s="422">
        <v>2.1</v>
      </c>
      <c r="G9" s="423"/>
      <c r="H9" s="370">
        <v>3.49</v>
      </c>
      <c r="I9" s="370"/>
      <c r="J9" s="370">
        <v>0.46</v>
      </c>
      <c r="K9" s="370"/>
      <c r="L9" s="398"/>
      <c r="M9" s="398"/>
      <c r="N9" s="428"/>
      <c r="O9" s="429"/>
      <c r="P9" s="427"/>
      <c r="Q9" s="430"/>
      <c r="R9" s="424"/>
      <c r="S9" s="425"/>
      <c r="T9" s="426"/>
      <c r="U9" s="427"/>
      <c r="V9" s="358">
        <f t="shared" ref="V9:V19" si="2">IF(D9="","",AD9)</f>
        <v>0.64332991800000006</v>
      </c>
      <c r="W9" s="358"/>
      <c r="X9" s="358">
        <f t="shared" si="0"/>
        <v>0.76086410400000015</v>
      </c>
      <c r="Y9" s="358"/>
      <c r="Z9" s="358">
        <f t="shared" ref="Z9:Z19" si="3">IF(D9="","",D9*F9*AN9)</f>
        <v>12.09285</v>
      </c>
      <c r="AA9" s="359"/>
      <c r="AD9" s="37">
        <f t="shared" ref="AD9:AD19" si="4">D9*F9*J9*$V$4*AH9</f>
        <v>0.64332991800000006</v>
      </c>
      <c r="AE9" s="37">
        <f t="shared" ref="AE9:AE19" si="5">D9*F9*J9*$X$4*AI9</f>
        <v>0.76086410400000015</v>
      </c>
      <c r="AG9" s="40" t="b">
        <v>1</v>
      </c>
      <c r="AH9" s="37" t="str">
        <f t="shared" ref="AH9:AH19" si="6">IF(AG9=TRUE,"0.93",IF(ISERROR(AK9),"エラー",IF(AK9&gt;0.93,"0.93",AK9)))</f>
        <v>0.93</v>
      </c>
      <c r="AI9" s="37" t="str">
        <f t="shared" ref="AI9:AI19" si="7">IF(AG9=TRUE,"0.51",IF(ISERROR(AL9),"エラー",IF(AL9&gt;0.72,"0.72",AL9)))</f>
        <v>0.51</v>
      </c>
      <c r="AK9" s="37" t="e">
        <f>IF(共通条件・結果!$AA$7="８（Ⅵ）",0.01*(16+19*(2*R9+T9)/P9),0.01*(24+9*(3*R9+T9)/P9))</f>
        <v>#DIV/0!</v>
      </c>
      <c r="AL9" s="37" t="e">
        <f t="shared" ref="AL9:AL19" si="8">0.01*(5+20*(3*R9+T9)/P9)</f>
        <v>#DIV/0!</v>
      </c>
      <c r="AN9" s="37">
        <f>IF(共通条件・結果!$AA$7="８地域",H9,IF(AO9="FALSE",H9,IF(L9="風除室",1/((1/H9)+0.1),0.5*H9+0.5*(1/((1/H9)+AO9)))))</f>
        <v>3.49</v>
      </c>
      <c r="AO9" s="39" t="str">
        <f t="shared" si="1"/>
        <v>FALSE</v>
      </c>
    </row>
    <row r="10" spans="2:41" s="37" customFormat="1" ht="21.95" customHeight="1">
      <c r="B10" s="419"/>
      <c r="C10" s="420"/>
      <c r="D10" s="421">
        <v>2.5499999999999998</v>
      </c>
      <c r="E10" s="422"/>
      <c r="F10" s="422">
        <v>1.8</v>
      </c>
      <c r="G10" s="423"/>
      <c r="H10" s="370">
        <v>3.49</v>
      </c>
      <c r="I10" s="370"/>
      <c r="J10" s="370">
        <v>0.46</v>
      </c>
      <c r="K10" s="370"/>
      <c r="L10" s="398" t="s">
        <v>397</v>
      </c>
      <c r="M10" s="398"/>
      <c r="N10" s="428"/>
      <c r="O10" s="429"/>
      <c r="P10" s="430"/>
      <c r="Q10" s="432"/>
      <c r="R10" s="431"/>
      <c r="S10" s="432"/>
      <c r="T10" s="431"/>
      <c r="U10" s="426"/>
      <c r="V10" s="358">
        <f t="shared" si="2"/>
        <v>0.85220326800000012</v>
      </c>
      <c r="W10" s="358"/>
      <c r="X10" s="358">
        <f t="shared" si="0"/>
        <v>1.007897904</v>
      </c>
      <c r="Y10" s="358"/>
      <c r="Z10" s="358">
        <f t="shared" si="3"/>
        <v>12.928816674855669</v>
      </c>
      <c r="AA10" s="359"/>
      <c r="AD10" s="37">
        <f t="shared" si="4"/>
        <v>0.85220326800000012</v>
      </c>
      <c r="AE10" s="37">
        <f t="shared" si="5"/>
        <v>1.007897904</v>
      </c>
      <c r="AG10" s="40" t="b">
        <v>1</v>
      </c>
      <c r="AH10" s="37" t="str">
        <f t="shared" si="6"/>
        <v>0.93</v>
      </c>
      <c r="AI10" s="37" t="str">
        <f t="shared" si="7"/>
        <v>0.51</v>
      </c>
      <c r="AK10" s="37" t="e">
        <f>IF(共通条件・結果!$AA$7="８（Ⅵ）",0.01*(16+19*(2*R10+T10)/P10),0.01*(24+9*(3*R10+T10)/P10))</f>
        <v>#DIV/0!</v>
      </c>
      <c r="AL10" s="37" t="e">
        <f t="shared" si="8"/>
        <v>#DIV/0!</v>
      </c>
      <c r="AN10" s="37">
        <f>IF(共通条件・結果!$AA$7="８地域",H10,IF(AO10="FALSE",H10,IF(L10="風除室",1/((1/H10)+0.1),0.5*H10+0.5*(1/((1/H10)+AO10)))))</f>
        <v>2.8167356590099497</v>
      </c>
      <c r="AO10" s="39">
        <f t="shared" si="1"/>
        <v>0.18</v>
      </c>
    </row>
    <row r="11" spans="2:41" s="37" customFormat="1" ht="21.95" customHeight="1">
      <c r="B11" s="419"/>
      <c r="C11" s="420"/>
      <c r="D11" s="421">
        <v>1.65</v>
      </c>
      <c r="E11" s="422"/>
      <c r="F11" s="422">
        <v>1.05</v>
      </c>
      <c r="G11" s="423"/>
      <c r="H11" s="370">
        <v>3.49</v>
      </c>
      <c r="I11" s="370"/>
      <c r="J11" s="370">
        <v>0.46</v>
      </c>
      <c r="K11" s="370"/>
      <c r="L11" s="398"/>
      <c r="M11" s="398"/>
      <c r="N11" s="428"/>
      <c r="O11" s="429"/>
      <c r="P11" s="430"/>
      <c r="Q11" s="432"/>
      <c r="R11" s="431"/>
      <c r="S11" s="432"/>
      <c r="T11" s="431"/>
      <c r="U11" s="426"/>
      <c r="V11" s="358">
        <f t="shared" si="2"/>
        <v>0.32166495900000003</v>
      </c>
      <c r="W11" s="358"/>
      <c r="X11" s="358">
        <f t="shared" si="0"/>
        <v>0.38043205200000008</v>
      </c>
      <c r="Y11" s="358"/>
      <c r="Z11" s="358">
        <f t="shared" si="3"/>
        <v>6.0464250000000002</v>
      </c>
      <c r="AA11" s="359"/>
      <c r="AD11" s="37">
        <f t="shared" si="4"/>
        <v>0.32166495900000003</v>
      </c>
      <c r="AE11" s="37">
        <f t="shared" si="5"/>
        <v>0.38043205200000008</v>
      </c>
      <c r="AG11" s="40" t="b">
        <v>1</v>
      </c>
      <c r="AH11" s="37" t="str">
        <f t="shared" si="6"/>
        <v>0.93</v>
      </c>
      <c r="AI11" s="37" t="str">
        <f t="shared" si="7"/>
        <v>0.51</v>
      </c>
      <c r="AK11" s="37" t="e">
        <f>IF(共通条件・結果!$AA$7="８（Ⅵ）",0.01*(16+19*(2*R11+T11)/P11),0.01*(24+9*(3*R11+T11)/P11))</f>
        <v>#DIV/0!</v>
      </c>
      <c r="AL11" s="37" t="e">
        <f t="shared" si="8"/>
        <v>#DIV/0!</v>
      </c>
      <c r="AN11" s="37">
        <f>IF(共通条件・結果!$AA$7="８地域",H11,IF(AO11="FALSE",H11,IF(L11="風除室",1/((1/H11)+0.1),0.5*H11+0.5*(1/((1/H11)+AO11)))))</f>
        <v>3.49</v>
      </c>
      <c r="AO11" s="39" t="str">
        <f t="shared" si="1"/>
        <v>FALSE</v>
      </c>
    </row>
    <row r="12" spans="2:41" s="37" customFormat="1" ht="21.95" customHeight="1">
      <c r="B12" s="419"/>
      <c r="C12" s="445"/>
      <c r="D12" s="488">
        <v>1.65</v>
      </c>
      <c r="E12" s="492"/>
      <c r="F12" s="493">
        <v>1.95</v>
      </c>
      <c r="G12" s="489"/>
      <c r="H12" s="488">
        <v>3.49</v>
      </c>
      <c r="I12" s="489"/>
      <c r="J12" s="488">
        <v>0.46</v>
      </c>
      <c r="K12" s="489"/>
      <c r="L12" s="495"/>
      <c r="M12" s="496"/>
      <c r="N12" s="428"/>
      <c r="O12" s="497"/>
      <c r="P12" s="430"/>
      <c r="Q12" s="432"/>
      <c r="R12" s="431"/>
      <c r="S12" s="432"/>
      <c r="T12" s="431"/>
      <c r="U12" s="426"/>
      <c r="V12" s="356">
        <f t="shared" ref="V12:V13" si="9">IF(D12="","",AD12)</f>
        <v>0.59737778099999994</v>
      </c>
      <c r="W12" s="357"/>
      <c r="X12" s="356">
        <f t="shared" ref="X12:X13" si="10">IF(D12="","",IF(ISERROR(AE12),"-",AE12))</f>
        <v>0.7065166679999999</v>
      </c>
      <c r="Y12" s="357"/>
      <c r="Z12" s="356">
        <f t="shared" ref="Z12:Z13" si="11">IF(D12="","",D12*F12*AN12)</f>
        <v>11.229075</v>
      </c>
      <c r="AA12" s="375"/>
      <c r="AD12" s="37">
        <f t="shared" ref="AD12:AD13" si="12">D12*F12*J12*$V$4*AH12</f>
        <v>0.59737778099999994</v>
      </c>
      <c r="AE12" s="37">
        <f t="shared" ref="AE12:AE13" si="13">D12*F12*J12*$X$4*AI12</f>
        <v>0.7065166679999999</v>
      </c>
      <c r="AG12" s="40" t="b">
        <v>1</v>
      </c>
      <c r="AH12" s="37" t="str">
        <f t="shared" ref="AH12:AH13" si="14">IF(AG12=TRUE,"0.93",IF(ISERROR(AK12),"エラー",IF(AK12&gt;0.93,"0.93",AK12)))</f>
        <v>0.93</v>
      </c>
      <c r="AI12" s="37" t="str">
        <f t="shared" ref="AI12:AI13" si="15">IF(AG12=TRUE,"0.51",IF(ISERROR(AL12),"エラー",IF(AL12&gt;0.72,"0.72",AL12)))</f>
        <v>0.51</v>
      </c>
      <c r="AK12" s="37" t="e">
        <f>IF(共通条件・結果!$AA$7="８（Ⅵ）",0.01*(16+19*(2*R12+T12)/P12),0.01*(24+9*(3*R12+T12)/P12))</f>
        <v>#DIV/0!</v>
      </c>
      <c r="AL12" s="37" t="e">
        <f t="shared" ref="AL12:AL13" si="16">0.01*(5+20*(3*R12+T12)/P12)</f>
        <v>#DIV/0!</v>
      </c>
      <c r="AN12" s="37">
        <f>IF(共通条件・結果!$AA$7="８地域",H12,IF(AO12="FALSE",H12,IF(L12="風除室",1/((1/H12)+0.1),0.5*H12+0.5*(1/((1/H12)+AO12)))))</f>
        <v>3.49</v>
      </c>
      <c r="AO12" s="95" t="str">
        <f t="shared" ref="AO12:AO13" si="17">IF(L12="","FALSE",IF(L12="雨戸",0.1,IF(L12="ｼｬｯﾀｰ",0.1,IF(L12="障子",0.18,IF(L12="風除室",0.1)))))</f>
        <v>FALSE</v>
      </c>
    </row>
    <row r="13" spans="2:41" s="37" customFormat="1" ht="21.95" customHeight="1">
      <c r="B13" s="419"/>
      <c r="C13" s="445"/>
      <c r="D13" s="488">
        <v>1.65</v>
      </c>
      <c r="E13" s="492"/>
      <c r="F13" s="493">
        <v>1.95</v>
      </c>
      <c r="G13" s="489"/>
      <c r="H13" s="488">
        <v>3.49</v>
      </c>
      <c r="I13" s="489"/>
      <c r="J13" s="488">
        <v>0.46</v>
      </c>
      <c r="K13" s="489"/>
      <c r="L13" s="495"/>
      <c r="M13" s="496"/>
      <c r="N13" s="428"/>
      <c r="O13" s="497"/>
      <c r="P13" s="430"/>
      <c r="Q13" s="432"/>
      <c r="R13" s="431"/>
      <c r="S13" s="432"/>
      <c r="T13" s="431"/>
      <c r="U13" s="426"/>
      <c r="V13" s="356">
        <f t="shared" si="9"/>
        <v>0.59737778099999994</v>
      </c>
      <c r="W13" s="357"/>
      <c r="X13" s="356">
        <f t="shared" si="10"/>
        <v>0.7065166679999999</v>
      </c>
      <c r="Y13" s="357"/>
      <c r="Z13" s="356">
        <f t="shared" si="11"/>
        <v>11.229075</v>
      </c>
      <c r="AA13" s="375"/>
      <c r="AD13" s="37">
        <f t="shared" si="12"/>
        <v>0.59737778099999994</v>
      </c>
      <c r="AE13" s="37">
        <f t="shared" si="13"/>
        <v>0.7065166679999999</v>
      </c>
      <c r="AG13" s="40" t="b">
        <v>1</v>
      </c>
      <c r="AH13" s="37" t="str">
        <f t="shared" si="14"/>
        <v>0.93</v>
      </c>
      <c r="AI13" s="37" t="str">
        <f t="shared" si="15"/>
        <v>0.51</v>
      </c>
      <c r="AK13" s="37" t="e">
        <f>IF(共通条件・結果!$AA$7="８（Ⅵ）",0.01*(16+19*(2*R13+T13)/P13),0.01*(24+9*(3*R13+T13)/P13))</f>
        <v>#DIV/0!</v>
      </c>
      <c r="AL13" s="37" t="e">
        <f t="shared" si="16"/>
        <v>#DIV/0!</v>
      </c>
      <c r="AN13" s="37">
        <f>IF(共通条件・結果!$AA$7="８地域",H13,IF(AO13="FALSE",H13,IF(L13="風除室",1/((1/H13)+0.1),0.5*H13+0.5*(1/((1/H13)+AO13)))))</f>
        <v>3.49</v>
      </c>
      <c r="AO13" s="95" t="str">
        <f t="shared" si="17"/>
        <v>FALSE</v>
      </c>
    </row>
    <row r="14" spans="2:41" s="37" customFormat="1" ht="21.95" customHeight="1">
      <c r="B14" s="419"/>
      <c r="C14" s="420"/>
      <c r="D14" s="421"/>
      <c r="E14" s="422"/>
      <c r="F14" s="422"/>
      <c r="G14" s="423"/>
      <c r="H14" s="370"/>
      <c r="I14" s="370"/>
      <c r="J14" s="370"/>
      <c r="K14" s="370"/>
      <c r="L14" s="398" t="s">
        <v>65</v>
      </c>
      <c r="M14" s="398"/>
      <c r="N14" s="428"/>
      <c r="O14" s="429"/>
      <c r="P14" s="430"/>
      <c r="Q14" s="432"/>
      <c r="R14" s="431"/>
      <c r="S14" s="432"/>
      <c r="T14" s="431"/>
      <c r="U14" s="426"/>
      <c r="V14" s="358" t="str">
        <f t="shared" si="2"/>
        <v/>
      </c>
      <c r="W14" s="358"/>
      <c r="X14" s="358" t="str">
        <f t="shared" si="0"/>
        <v/>
      </c>
      <c r="Y14" s="358"/>
      <c r="Z14" s="358" t="str">
        <f t="shared" si="3"/>
        <v/>
      </c>
      <c r="AA14" s="359"/>
      <c r="AD14" s="37" t="e">
        <f t="shared" si="4"/>
        <v>#VALUE!</v>
      </c>
      <c r="AE14" s="37" t="e">
        <f t="shared" si="5"/>
        <v>#VALUE!</v>
      </c>
      <c r="AG14" s="40" t="b">
        <v>0</v>
      </c>
      <c r="AH14" s="37" t="str">
        <f t="shared" si="6"/>
        <v>エラー</v>
      </c>
      <c r="AI14" s="37" t="str">
        <f t="shared" si="7"/>
        <v>エラー</v>
      </c>
      <c r="AK14" s="37" t="e">
        <f>IF(共通条件・結果!$AA$7="８（Ⅵ）",0.01*(16+19*(2*R14+T14)/P14),0.01*(24+9*(3*R14+T14)/P14))</f>
        <v>#DIV/0!</v>
      </c>
      <c r="AL14" s="37" t="e">
        <f t="shared" si="8"/>
        <v>#DIV/0!</v>
      </c>
      <c r="AN14" s="37" t="e">
        <f>IF(共通条件・結果!$AA$7="８地域",H14,IF(AO14="FALSE",H14,IF(L14="風除室",1/((1/H14)+0.1),0.5*H14+0.5*(1/((1/H14)+AO14)))))</f>
        <v>#DIV/0!</v>
      </c>
      <c r="AO14" s="39" t="b">
        <f t="shared" si="1"/>
        <v>0</v>
      </c>
    </row>
    <row r="15" spans="2:41" s="37" customFormat="1" ht="21.95" customHeight="1">
      <c r="B15" s="419"/>
      <c r="C15" s="420"/>
      <c r="D15" s="421"/>
      <c r="E15" s="422"/>
      <c r="F15" s="422"/>
      <c r="G15" s="423"/>
      <c r="H15" s="370"/>
      <c r="I15" s="370"/>
      <c r="J15" s="370"/>
      <c r="K15" s="370"/>
      <c r="L15" s="398" t="s">
        <v>65</v>
      </c>
      <c r="M15" s="398"/>
      <c r="N15" s="428"/>
      <c r="O15" s="429"/>
      <c r="P15" s="430"/>
      <c r="Q15" s="432"/>
      <c r="R15" s="431"/>
      <c r="S15" s="432"/>
      <c r="T15" s="431"/>
      <c r="U15" s="426"/>
      <c r="V15" s="356" t="str">
        <f t="shared" si="2"/>
        <v/>
      </c>
      <c r="W15" s="357"/>
      <c r="X15" s="358" t="str">
        <f t="shared" si="0"/>
        <v/>
      </c>
      <c r="Y15" s="358"/>
      <c r="Z15" s="358" t="str">
        <f t="shared" si="3"/>
        <v/>
      </c>
      <c r="AA15" s="359"/>
      <c r="AD15" s="37" t="e">
        <f t="shared" si="4"/>
        <v>#VALUE!</v>
      </c>
      <c r="AE15" s="37" t="e">
        <f t="shared" si="5"/>
        <v>#VALUE!</v>
      </c>
      <c r="AG15" s="40" t="b">
        <v>0</v>
      </c>
      <c r="AH15" s="37" t="str">
        <f t="shared" si="6"/>
        <v>エラー</v>
      </c>
      <c r="AI15" s="37" t="str">
        <f t="shared" si="7"/>
        <v>エラー</v>
      </c>
      <c r="AK15" s="37" t="e">
        <f>IF(共通条件・結果!$AA$7="８（Ⅵ）",0.01*(16+19*(2*R15+T15)/P15),0.01*(24+9*(3*R15+T15)/P15))</f>
        <v>#DIV/0!</v>
      </c>
      <c r="AL15" s="37" t="e">
        <f t="shared" si="8"/>
        <v>#DIV/0!</v>
      </c>
      <c r="AN15" s="37" t="e">
        <f>IF(共通条件・結果!$AA$7="８地域",H15,IF(AO15="FALSE",H15,IF(L15="風除室",1/((1/H15)+0.1),0.5*H15+0.5*(1/((1/H15)+AO15)))))</f>
        <v>#DIV/0!</v>
      </c>
      <c r="AO15" s="39" t="b">
        <f t="shared" si="1"/>
        <v>0</v>
      </c>
    </row>
    <row r="16" spans="2:41" s="37" customFormat="1" ht="21.95" customHeight="1">
      <c r="B16" s="419"/>
      <c r="C16" s="420"/>
      <c r="D16" s="421"/>
      <c r="E16" s="422"/>
      <c r="F16" s="422"/>
      <c r="G16" s="423"/>
      <c r="H16" s="370"/>
      <c r="I16" s="370"/>
      <c r="J16" s="370"/>
      <c r="K16" s="370"/>
      <c r="L16" s="398" t="s">
        <v>65</v>
      </c>
      <c r="M16" s="398"/>
      <c r="N16" s="428"/>
      <c r="O16" s="429"/>
      <c r="P16" s="430"/>
      <c r="Q16" s="432"/>
      <c r="R16" s="431"/>
      <c r="S16" s="432"/>
      <c r="T16" s="431"/>
      <c r="U16" s="426"/>
      <c r="V16" s="356" t="str">
        <f t="shared" si="2"/>
        <v/>
      </c>
      <c r="W16" s="357"/>
      <c r="X16" s="358" t="str">
        <f t="shared" si="0"/>
        <v/>
      </c>
      <c r="Y16" s="358"/>
      <c r="Z16" s="358" t="str">
        <f t="shared" si="3"/>
        <v/>
      </c>
      <c r="AA16" s="359"/>
      <c r="AD16" s="37" t="e">
        <f t="shared" si="4"/>
        <v>#VALUE!</v>
      </c>
      <c r="AE16" s="37" t="e">
        <f t="shared" si="5"/>
        <v>#VALUE!</v>
      </c>
      <c r="AG16" s="40" t="b">
        <v>0</v>
      </c>
      <c r="AH16" s="37" t="str">
        <f t="shared" si="6"/>
        <v>エラー</v>
      </c>
      <c r="AI16" s="37" t="str">
        <f t="shared" si="7"/>
        <v>エラー</v>
      </c>
      <c r="AK16" s="37" t="e">
        <f>IF(共通条件・結果!$AA$7="８（Ⅵ）",0.01*(16+19*(2*R16+T16)/P16),0.01*(24+9*(3*R16+T16)/P16))</f>
        <v>#DIV/0!</v>
      </c>
      <c r="AL16" s="37" t="e">
        <f t="shared" si="8"/>
        <v>#DIV/0!</v>
      </c>
      <c r="AN16" s="37" t="e">
        <f>IF(共通条件・結果!$AA$7="８地域",H16,IF(AO16="FALSE",H16,IF(L16="風除室",1/((1/H16)+0.1),0.5*H16+0.5*(1/((1/H16)+AO16)))))</f>
        <v>#DIV/0!</v>
      </c>
      <c r="AO16" s="39" t="b">
        <f t="shared" si="1"/>
        <v>0</v>
      </c>
    </row>
    <row r="17" spans="2:41" s="37" customFormat="1" ht="21.95" customHeight="1">
      <c r="B17" s="419"/>
      <c r="C17" s="420"/>
      <c r="D17" s="421"/>
      <c r="E17" s="422"/>
      <c r="F17" s="422"/>
      <c r="G17" s="423"/>
      <c r="H17" s="370"/>
      <c r="I17" s="370"/>
      <c r="J17" s="370"/>
      <c r="K17" s="370"/>
      <c r="L17" s="398" t="s">
        <v>65</v>
      </c>
      <c r="M17" s="398"/>
      <c r="N17" s="428"/>
      <c r="O17" s="429"/>
      <c r="P17" s="427"/>
      <c r="Q17" s="430"/>
      <c r="R17" s="431"/>
      <c r="S17" s="432"/>
      <c r="T17" s="431"/>
      <c r="U17" s="426"/>
      <c r="V17" s="356" t="str">
        <f t="shared" si="2"/>
        <v/>
      </c>
      <c r="W17" s="357"/>
      <c r="X17" s="358" t="str">
        <f t="shared" si="0"/>
        <v/>
      </c>
      <c r="Y17" s="358"/>
      <c r="Z17" s="358" t="str">
        <f t="shared" si="3"/>
        <v/>
      </c>
      <c r="AA17" s="359"/>
      <c r="AD17" s="37" t="e">
        <f t="shared" si="4"/>
        <v>#VALUE!</v>
      </c>
      <c r="AE17" s="37" t="e">
        <f t="shared" si="5"/>
        <v>#VALUE!</v>
      </c>
      <c r="AG17" s="40" t="b">
        <v>0</v>
      </c>
      <c r="AH17" s="37" t="str">
        <f t="shared" si="6"/>
        <v>エラー</v>
      </c>
      <c r="AI17" s="37" t="str">
        <f t="shared" si="7"/>
        <v>エラー</v>
      </c>
      <c r="AK17" s="37" t="e">
        <f>IF(共通条件・結果!$AA$7="８（Ⅵ）",0.01*(16+19*(2*R17+T17)/P17),0.01*(24+9*(3*R17+T17)/P17))</f>
        <v>#DIV/0!</v>
      </c>
      <c r="AL17" s="37" t="e">
        <f t="shared" si="8"/>
        <v>#DIV/0!</v>
      </c>
      <c r="AN17" s="37" t="e">
        <f>IF(共通条件・結果!$AA$7="８地域",H17,IF(AO17="FALSE",H17,IF(L17="風除室",1/((1/H17)+0.1),0.5*H17+0.5*(1/((1/H17)+AO17)))))</f>
        <v>#DIV/0!</v>
      </c>
      <c r="AO17" s="39" t="b">
        <f t="shared" si="1"/>
        <v>0</v>
      </c>
    </row>
    <row r="18" spans="2:41" s="37" customFormat="1" ht="21.95" customHeight="1">
      <c r="B18" s="419"/>
      <c r="C18" s="420"/>
      <c r="D18" s="421"/>
      <c r="E18" s="422"/>
      <c r="F18" s="422"/>
      <c r="G18" s="423"/>
      <c r="H18" s="370"/>
      <c r="I18" s="370"/>
      <c r="J18" s="370"/>
      <c r="K18" s="370"/>
      <c r="L18" s="398" t="s">
        <v>65</v>
      </c>
      <c r="M18" s="398"/>
      <c r="N18" s="428"/>
      <c r="O18" s="429"/>
      <c r="P18" s="427"/>
      <c r="Q18" s="430"/>
      <c r="R18" s="424"/>
      <c r="S18" s="425"/>
      <c r="T18" s="426"/>
      <c r="U18" s="427"/>
      <c r="V18" s="356" t="str">
        <f t="shared" si="2"/>
        <v/>
      </c>
      <c r="W18" s="357"/>
      <c r="X18" s="358" t="str">
        <f t="shared" si="0"/>
        <v/>
      </c>
      <c r="Y18" s="358"/>
      <c r="Z18" s="358" t="str">
        <f t="shared" si="3"/>
        <v/>
      </c>
      <c r="AA18" s="359"/>
      <c r="AD18" s="37" t="e">
        <f t="shared" si="4"/>
        <v>#VALUE!</v>
      </c>
      <c r="AE18" s="37" t="e">
        <f t="shared" si="5"/>
        <v>#VALUE!</v>
      </c>
      <c r="AG18" s="40" t="b">
        <v>0</v>
      </c>
      <c r="AH18" s="37" t="str">
        <f t="shared" si="6"/>
        <v>エラー</v>
      </c>
      <c r="AI18" s="37" t="str">
        <f t="shared" si="7"/>
        <v>エラー</v>
      </c>
      <c r="AK18" s="37" t="e">
        <f>IF(共通条件・結果!$AA$7="８（Ⅵ）",0.01*(16+19*(2*R18+T18)/P18),0.01*(24+9*(3*R18+T18)/P18))</f>
        <v>#DIV/0!</v>
      </c>
      <c r="AL18" s="37" t="e">
        <f t="shared" si="8"/>
        <v>#DIV/0!</v>
      </c>
      <c r="AN18" s="37" t="e">
        <f>IF(共通条件・結果!$AA$7="８地域",H18,IF(AO18="FALSE",H18,IF(L18="風除室",1/((1/H18)+0.1),0.5*H18+0.5*(1/((1/H18)+AO18)))))</f>
        <v>#DIV/0!</v>
      </c>
      <c r="AO18" s="39" t="b">
        <f t="shared" si="1"/>
        <v>0</v>
      </c>
    </row>
    <row r="19" spans="2:41" s="37" customFormat="1" ht="21.95" customHeight="1" thickBot="1">
      <c r="B19" s="350"/>
      <c r="C19" s="417"/>
      <c r="D19" s="394"/>
      <c r="E19" s="395"/>
      <c r="F19" s="395"/>
      <c r="G19" s="396"/>
      <c r="H19" s="397"/>
      <c r="I19" s="397"/>
      <c r="J19" s="397"/>
      <c r="K19" s="397"/>
      <c r="L19" s="410" t="s">
        <v>65</v>
      </c>
      <c r="M19" s="410"/>
      <c r="N19" s="411"/>
      <c r="O19" s="412"/>
      <c r="P19" s="413"/>
      <c r="Q19" s="414"/>
      <c r="R19" s="415"/>
      <c r="S19" s="416"/>
      <c r="T19" s="418"/>
      <c r="U19" s="413"/>
      <c r="V19" s="356" t="str">
        <f t="shared" si="2"/>
        <v/>
      </c>
      <c r="W19" s="357"/>
      <c r="X19" s="358" t="str">
        <f t="shared" si="0"/>
        <v/>
      </c>
      <c r="Y19" s="358"/>
      <c r="Z19" s="367" t="str">
        <f t="shared" si="3"/>
        <v/>
      </c>
      <c r="AA19" s="374"/>
      <c r="AD19" s="37" t="e">
        <f t="shared" si="4"/>
        <v>#VALUE!</v>
      </c>
      <c r="AE19" s="37" t="e">
        <f t="shared" si="5"/>
        <v>#VALUE!</v>
      </c>
      <c r="AG19" s="40" t="b">
        <v>0</v>
      </c>
      <c r="AH19" s="37" t="str">
        <f t="shared" si="6"/>
        <v>エラー</v>
      </c>
      <c r="AI19" s="37" t="str">
        <f t="shared" si="7"/>
        <v>エラー</v>
      </c>
      <c r="AK19" s="37" t="e">
        <f>IF(共通条件・結果!$AA$7="８（Ⅵ）",0.01*(16+19*(2*R19+T19)/P19),0.01*(24+9*(3*R19+T19)/P19))</f>
        <v>#DIV/0!</v>
      </c>
      <c r="AL19" s="37" t="e">
        <f t="shared" si="8"/>
        <v>#DIV/0!</v>
      </c>
      <c r="AN19" s="37" t="e">
        <f>IF(共通条件・結果!$AA$7="８地域",H19,IF(AO19="FALSE",H19,IF(L19="風除室",1/((1/H19)+0.1),0.5*H19+0.5*(1/((1/H19)+AO19)))))</f>
        <v>#DIV/0!</v>
      </c>
      <c r="AO19" s="39" t="b">
        <f t="shared" si="1"/>
        <v>0</v>
      </c>
    </row>
    <row r="20" spans="2:41" s="37" customFormat="1" ht="21.95" customHeight="1" thickBot="1">
      <c r="B20" s="408" t="s">
        <v>126</v>
      </c>
      <c r="C20" s="409"/>
      <c r="D20" s="409"/>
      <c r="E20" s="409"/>
      <c r="F20" s="409"/>
      <c r="G20" s="409"/>
      <c r="H20" s="409"/>
      <c r="I20" s="409"/>
      <c r="J20" s="409"/>
      <c r="K20" s="409"/>
      <c r="L20" s="409"/>
      <c r="M20" s="409"/>
      <c r="N20" s="409"/>
      <c r="O20" s="409"/>
      <c r="P20" s="409"/>
      <c r="Q20" s="409"/>
      <c r="R20" s="409"/>
      <c r="S20" s="409"/>
      <c r="T20" s="409"/>
      <c r="U20" s="409"/>
      <c r="V20" s="344">
        <f>SUM(V8:W19)</f>
        <v>3.6552836250000005</v>
      </c>
      <c r="W20" s="344"/>
      <c r="X20" s="344">
        <f>SUM(X8:Y19)</f>
        <v>4.3230915000000003</v>
      </c>
      <c r="Y20" s="344"/>
      <c r="Z20" s="344">
        <f>SUM(Z8:AA19)</f>
        <v>65.619091674855667</v>
      </c>
      <c r="AA20" s="345"/>
    </row>
    <row r="21" spans="2:41" s="37" customFormat="1" ht="9.9499999999999993" customHeight="1">
      <c r="AN21" s="401"/>
      <c r="AO21" s="401"/>
    </row>
    <row r="22" spans="2:41" s="37" customFormat="1" ht="21.95" customHeight="1" thickBot="1">
      <c r="J22" s="38" t="s">
        <v>15</v>
      </c>
      <c r="K22" s="38"/>
      <c r="L22" s="38"/>
    </row>
    <row r="23" spans="2:41" s="37" customFormat="1" ht="21.95" customHeight="1">
      <c r="J23" s="465" t="s">
        <v>16</v>
      </c>
      <c r="K23" s="486"/>
      <c r="L23" s="486"/>
      <c r="M23" s="466"/>
      <c r="N23" s="361" t="s">
        <v>91</v>
      </c>
      <c r="O23" s="361"/>
      <c r="P23" s="361"/>
      <c r="Q23" s="361"/>
      <c r="R23" s="361" t="s">
        <v>7</v>
      </c>
      <c r="S23" s="361"/>
      <c r="T23" s="402" t="s">
        <v>10</v>
      </c>
      <c r="U23" s="403"/>
      <c r="V23" s="360" t="s">
        <v>68</v>
      </c>
      <c r="W23" s="361"/>
      <c r="X23" s="360" t="s">
        <v>67</v>
      </c>
      <c r="Y23" s="361"/>
      <c r="Z23" s="361" t="s">
        <v>13</v>
      </c>
      <c r="AA23" s="363"/>
      <c r="AN23" s="401" t="s">
        <v>89</v>
      </c>
      <c r="AO23" s="401"/>
    </row>
    <row r="24" spans="2:41" s="37" customFormat="1" ht="21.95" customHeight="1" thickBot="1">
      <c r="J24" s="467"/>
      <c r="K24" s="475"/>
      <c r="L24" s="475"/>
      <c r="M24" s="438"/>
      <c r="N24" s="405" t="s">
        <v>9</v>
      </c>
      <c r="O24" s="406"/>
      <c r="P24" s="407" t="s">
        <v>8</v>
      </c>
      <c r="Q24" s="362"/>
      <c r="R24" s="362"/>
      <c r="S24" s="362"/>
      <c r="T24" s="404"/>
      <c r="U24" s="404"/>
      <c r="V24" s="362"/>
      <c r="W24" s="362"/>
      <c r="X24" s="362"/>
      <c r="Y24" s="362"/>
      <c r="Z24" s="362"/>
      <c r="AA24" s="364"/>
      <c r="AN24" s="97" t="s">
        <v>87</v>
      </c>
      <c r="AO24" s="37" t="s">
        <v>85</v>
      </c>
    </row>
    <row r="25" spans="2:41" s="37" customFormat="1" ht="21.95" customHeight="1">
      <c r="C25" s="41"/>
      <c r="D25" s="41"/>
      <c r="E25" s="41"/>
      <c r="F25" s="41"/>
      <c r="G25" s="41"/>
      <c r="H25" s="41"/>
      <c r="I25" s="41"/>
      <c r="J25" s="433"/>
      <c r="K25" s="487"/>
      <c r="L25" s="487"/>
      <c r="M25" s="446"/>
      <c r="N25" s="435"/>
      <c r="O25" s="436"/>
      <c r="P25" s="436"/>
      <c r="Q25" s="437"/>
      <c r="R25" s="392"/>
      <c r="S25" s="392"/>
      <c r="T25" s="485"/>
      <c r="U25" s="485"/>
      <c r="V25" s="368" t="str">
        <f>IF(N25="","",N25*P25*R25*0.034*$V$4)</f>
        <v/>
      </c>
      <c r="W25" s="368"/>
      <c r="X25" s="368" t="str">
        <f>IF(N25="","",IF(ISERROR(N25*P25*R25*0.034*$X$4),"-",N25*P25*R25*0.034*$X$4))</f>
        <v/>
      </c>
      <c r="Y25" s="368"/>
      <c r="Z25" s="368" t="str">
        <f>IF(N25="","",N25*P25*AN25)</f>
        <v/>
      </c>
      <c r="AA25" s="369"/>
      <c r="AN25" s="37">
        <f>IF(共通条件・結果!$AA$7="８地域",R25,IF(AO25="FALSE",R25,IF(T25="風除室",1/((1/R25)+0.1),0.5*R25+0.5*(1/((1/R25)+AO25)))))</f>
        <v>0</v>
      </c>
      <c r="AO25" s="39" t="str">
        <f>IF(T25="","FALSE",IF(T25="雨戸",0.1,IF(T25="ｼｬｯﾀｰ",0.1,IF(T25="障子",0.18,IF(T25="風除室",0.1)))))</f>
        <v>FALSE</v>
      </c>
    </row>
    <row r="26" spans="2:41" s="37" customFormat="1" ht="21.95" customHeight="1">
      <c r="C26" s="41"/>
      <c r="D26" s="41"/>
      <c r="E26" s="41"/>
      <c r="F26" s="41"/>
      <c r="G26" s="41"/>
      <c r="H26" s="41"/>
      <c r="I26" s="41"/>
      <c r="J26" s="419"/>
      <c r="K26" s="494"/>
      <c r="L26" s="494"/>
      <c r="M26" s="445"/>
      <c r="N26" s="488"/>
      <c r="O26" s="492"/>
      <c r="P26" s="493"/>
      <c r="Q26" s="489"/>
      <c r="R26" s="488"/>
      <c r="S26" s="489"/>
      <c r="T26" s="495"/>
      <c r="U26" s="496"/>
      <c r="V26" s="356" t="str">
        <f>IF(N26="","",N26*P26*R26*0.034*$V$4)</f>
        <v/>
      </c>
      <c r="W26" s="357"/>
      <c r="X26" s="356" t="str">
        <f>IF(N26="","",IF(ISERROR(N26*P26*R26*0.034*$X$4),"-",N26*P26*R26*0.034*$X$4))</f>
        <v/>
      </c>
      <c r="Y26" s="357"/>
      <c r="Z26" s="356" t="str">
        <f>IF(N26="","",N26*P26*AN26)</f>
        <v/>
      </c>
      <c r="AA26" s="375"/>
      <c r="AN26" s="37">
        <f>IF(共通条件・結果!$AA$7="８地域",R26,IF(AO26="FALSE",R26,IF(T26="風除室",1/((1/R26)+0.1),0.5*R26+0.5*(1/((1/R26)+AO26)))))</f>
        <v>0</v>
      </c>
      <c r="AO26" s="95" t="str">
        <f>IF(T26="","FALSE",IF(T26="雨戸",0.1,IF(T26="ｼｬｯﾀｰ",0.1,IF(T26="障子",0.18,IF(T26="風除室",0.1)))))</f>
        <v>FALSE</v>
      </c>
    </row>
    <row r="27" spans="2:41" s="37" customFormat="1" ht="21.95" customHeight="1" thickBot="1">
      <c r="C27" s="41"/>
      <c r="D27" s="41"/>
      <c r="E27" s="41"/>
      <c r="F27" s="41"/>
      <c r="G27" s="41"/>
      <c r="H27" s="41"/>
      <c r="I27" s="41"/>
      <c r="J27" s="350"/>
      <c r="K27" s="464"/>
      <c r="L27" s="464"/>
      <c r="M27" s="351"/>
      <c r="N27" s="394"/>
      <c r="O27" s="395"/>
      <c r="P27" s="395"/>
      <c r="Q27" s="396"/>
      <c r="R27" s="397"/>
      <c r="S27" s="397"/>
      <c r="T27" s="398" t="s">
        <v>65</v>
      </c>
      <c r="U27" s="398"/>
      <c r="V27" s="399" t="str">
        <f>IF(N27="","",N27*P27*R27*0.034*$V$4)</f>
        <v/>
      </c>
      <c r="W27" s="399"/>
      <c r="X27" s="399" t="str">
        <f>IF(N27="","",IF(ISERROR(N27*P27*R27*0.034*$X$4),"-",N27*P27*R27*0.034*$X$4))</f>
        <v/>
      </c>
      <c r="Y27" s="399"/>
      <c r="Z27" s="399" t="str">
        <f>IF(N27="","",N27*P27*AN27)</f>
        <v/>
      </c>
      <c r="AA27" s="400"/>
      <c r="AN27" s="37" t="e">
        <f>IF(共通条件・結果!$AA$7="８地域",R27,IF(AO27="FALSE",R27,IF(T27="風除室",1/((1/R27)+0.1),0.5*R27+0.5*(1/((1/R27)+AO27)))))</f>
        <v>#DIV/0!</v>
      </c>
      <c r="AO27" s="39" t="b">
        <f>IF(T27="","FALSE",IF(T27="雨戸",0.1,IF(T27="ｼｬｯﾀｰ",0.1,IF(T27="障子",0.18,IF(T27="風除室",0.1)))))</f>
        <v>0</v>
      </c>
    </row>
    <row r="28" spans="2:41" s="37" customFormat="1" ht="21.95" customHeight="1" thickBot="1">
      <c r="C28" s="41"/>
      <c r="D28" s="41"/>
      <c r="E28" s="41"/>
      <c r="F28" s="41"/>
      <c r="G28" s="41"/>
      <c r="H28" s="41"/>
      <c r="I28" s="41"/>
      <c r="J28" s="408" t="s">
        <v>146</v>
      </c>
      <c r="K28" s="409"/>
      <c r="L28" s="409"/>
      <c r="M28" s="409"/>
      <c r="N28" s="409"/>
      <c r="O28" s="409"/>
      <c r="P28" s="409"/>
      <c r="Q28" s="409"/>
      <c r="R28" s="409"/>
      <c r="S28" s="409"/>
      <c r="T28" s="409"/>
      <c r="U28" s="468"/>
      <c r="V28" s="344">
        <f>SUM(V25:W27)</f>
        <v>0</v>
      </c>
      <c r="W28" s="344"/>
      <c r="X28" s="344">
        <f>SUM(X25:Y27)</f>
        <v>0</v>
      </c>
      <c r="Y28" s="344"/>
      <c r="Z28" s="344">
        <f>SUM(Z25:AA27)</f>
        <v>0</v>
      </c>
      <c r="AA28" s="345"/>
      <c r="AO28" s="39"/>
    </row>
    <row r="29" spans="2:41" s="37" customFormat="1" ht="9.9499999999999993" customHeight="1">
      <c r="C29" s="41"/>
      <c r="D29" s="41"/>
      <c r="E29" s="41"/>
      <c r="F29" s="41"/>
      <c r="G29" s="41"/>
      <c r="H29" s="41"/>
      <c r="I29" s="41"/>
      <c r="J29" s="41"/>
      <c r="AO29" s="39"/>
    </row>
    <row r="30" spans="2:41" s="37" customFormat="1" ht="21.95" customHeight="1" thickBot="1">
      <c r="C30" s="41"/>
      <c r="D30" s="41"/>
      <c r="E30" s="41"/>
      <c r="F30" s="41"/>
      <c r="G30" s="41"/>
      <c r="H30" s="41"/>
      <c r="I30" s="41"/>
      <c r="J30" s="38" t="s">
        <v>17</v>
      </c>
      <c r="K30" s="38"/>
      <c r="L30" s="38"/>
      <c r="AO30" s="39"/>
    </row>
    <row r="31" spans="2:41" s="37" customFormat="1" ht="21.95" customHeight="1">
      <c r="C31" s="41"/>
      <c r="D31" s="41"/>
      <c r="E31" s="41"/>
      <c r="F31" s="41"/>
      <c r="G31" s="41"/>
      <c r="H31" s="41"/>
      <c r="I31" s="41"/>
      <c r="J31" s="465" t="s">
        <v>0</v>
      </c>
      <c r="K31" s="466"/>
      <c r="L31" s="376" t="s">
        <v>53</v>
      </c>
      <c r="M31" s="377"/>
      <c r="N31" s="376" t="s">
        <v>170</v>
      </c>
      <c r="O31" s="377"/>
      <c r="P31" s="380" t="s">
        <v>54</v>
      </c>
      <c r="Q31" s="381"/>
      <c r="R31" s="361" t="s">
        <v>7</v>
      </c>
      <c r="S31" s="361"/>
      <c r="T31" s="384" t="s">
        <v>150</v>
      </c>
      <c r="U31" s="385"/>
      <c r="V31" s="360" t="s">
        <v>68</v>
      </c>
      <c r="W31" s="361"/>
      <c r="X31" s="360" t="s">
        <v>67</v>
      </c>
      <c r="Y31" s="361"/>
      <c r="Z31" s="361" t="s">
        <v>13</v>
      </c>
      <c r="AA31" s="363"/>
      <c r="AO31" s="39"/>
    </row>
    <row r="32" spans="2:41" s="37" customFormat="1" ht="21.95" customHeight="1" thickBot="1">
      <c r="C32" s="41"/>
      <c r="D32" s="41"/>
      <c r="E32" s="41"/>
      <c r="F32" s="41"/>
      <c r="G32" s="41"/>
      <c r="H32" s="41"/>
      <c r="I32" s="41"/>
      <c r="J32" s="467"/>
      <c r="K32" s="438"/>
      <c r="L32" s="378"/>
      <c r="M32" s="379"/>
      <c r="N32" s="378"/>
      <c r="O32" s="379"/>
      <c r="P32" s="382"/>
      <c r="Q32" s="383"/>
      <c r="R32" s="362"/>
      <c r="S32" s="362"/>
      <c r="T32" s="386"/>
      <c r="U32" s="387"/>
      <c r="V32" s="362"/>
      <c r="W32" s="362"/>
      <c r="X32" s="362"/>
      <c r="Y32" s="362"/>
      <c r="Z32" s="362"/>
      <c r="AA32" s="364"/>
      <c r="AE32" s="37" t="s">
        <v>140</v>
      </c>
      <c r="AF32" s="37" t="s">
        <v>141</v>
      </c>
    </row>
    <row r="33" spans="2:32" s="37" customFormat="1" ht="21.95" customHeight="1">
      <c r="C33" s="41"/>
      <c r="D33" s="41"/>
      <c r="E33" s="41"/>
      <c r="F33" s="41"/>
      <c r="G33" s="41"/>
      <c r="H33" s="41"/>
      <c r="I33" s="41"/>
      <c r="J33" s="433" t="s">
        <v>1</v>
      </c>
      <c r="K33" s="446"/>
      <c r="L33" s="388">
        <v>52.83</v>
      </c>
      <c r="M33" s="389"/>
      <c r="N33" s="388">
        <f>Q41+U41</f>
        <v>19.6875</v>
      </c>
      <c r="O33" s="389"/>
      <c r="P33" s="390">
        <f>IF(L33="","",L33-N33)</f>
        <v>33.142499999999998</v>
      </c>
      <c r="Q33" s="391"/>
      <c r="R33" s="392">
        <f>ROUND((IF(L33="","",部位U計算!$F$52)),3)</f>
        <v>0.49</v>
      </c>
      <c r="S33" s="392"/>
      <c r="T33" s="393"/>
      <c r="U33" s="393"/>
      <c r="V33" s="358">
        <f>IF(P33="","",IF(AD33=TRUE,0,P33*R33*0.034*$V$4))</f>
        <v>0.23963485770000004</v>
      </c>
      <c r="W33" s="358"/>
      <c r="X33" s="356">
        <f>IF(P33="","",IF(ISERROR(P33*R33*0.034*$X$4),"-",IF(AD33=TRUE,0,P33*R33*0.034*$X$4)))</f>
        <v>0.51681619080000007</v>
      </c>
      <c r="Y33" s="357"/>
      <c r="Z33" s="368">
        <f>IF(R33="","",IF(AD33=TRUE,0.7*R33*P33,R33*P33))</f>
        <v>16.239825</v>
      </c>
      <c r="AA33" s="369"/>
      <c r="AD33" s="40" t="b">
        <v>0</v>
      </c>
      <c r="AE33" s="40">
        <f>IF(AD33=TRUE,0.7,1)</f>
        <v>1</v>
      </c>
      <c r="AF33" s="40" t="str">
        <f>IF(AD33=TRUE,0,"セル")</f>
        <v>セル</v>
      </c>
    </row>
    <row r="34" spans="2:32" s="37" customFormat="1" ht="21.95" customHeight="1">
      <c r="C34" s="41"/>
      <c r="D34" s="41"/>
      <c r="E34" s="41"/>
      <c r="F34" s="41"/>
      <c r="G34" s="41"/>
      <c r="H34" s="41"/>
      <c r="I34" s="41"/>
      <c r="J34" s="419" t="s">
        <v>387</v>
      </c>
      <c r="K34" s="445"/>
      <c r="L34" s="488">
        <v>0</v>
      </c>
      <c r="M34" s="489"/>
      <c r="N34" s="488"/>
      <c r="O34" s="489"/>
      <c r="P34" s="490">
        <f t="shared" ref="P34:P35" si="18">IF(L34="","",L34-N34)</f>
        <v>0</v>
      </c>
      <c r="Q34" s="491"/>
      <c r="R34" s="488">
        <f>ROUND(IF(L34="","",部位U計算!$F$100),2)</f>
        <v>0.49</v>
      </c>
      <c r="S34" s="489"/>
      <c r="T34" s="498"/>
      <c r="U34" s="499"/>
      <c r="V34" s="356">
        <f t="shared" ref="V34:V35" si="19">IF(P34="","",IF(AD34=TRUE,0,P34*R34*0.034*$V$4))</f>
        <v>0</v>
      </c>
      <c r="W34" s="357"/>
      <c r="X34" s="356">
        <f t="shared" ref="X34:X35" si="20">IF(P34="","",IF(ISERROR(P34*R34*0.034*$X$4),"-",IF(AD34=TRUE,0,P34*R34*0.034*$X$4)))</f>
        <v>0</v>
      </c>
      <c r="Y34" s="357"/>
      <c r="Z34" s="356">
        <f t="shared" ref="Z34:Z35" si="21">IF(R34="","",IF(AD34=TRUE,0.7*R34*P34,R34*P34))</f>
        <v>0</v>
      </c>
      <c r="AA34" s="375"/>
      <c r="AD34" s="40" t="b">
        <v>0</v>
      </c>
      <c r="AE34" s="40">
        <f t="shared" ref="AE34:AE35" si="22">IF(AD34=TRUE,0.7,1)</f>
        <v>1</v>
      </c>
      <c r="AF34" s="40" t="str">
        <f t="shared" ref="AF34:AF35" si="23">IF(AD34=TRUE,0,"セル")</f>
        <v>セル</v>
      </c>
    </row>
    <row r="35" spans="2:32" s="37" customFormat="1" ht="21.95" customHeight="1">
      <c r="C35" s="41"/>
      <c r="D35" s="41"/>
      <c r="E35" s="41"/>
      <c r="F35" s="41"/>
      <c r="G35" s="41"/>
      <c r="H35" s="41"/>
      <c r="I35" s="41"/>
      <c r="J35" s="419" t="s">
        <v>387</v>
      </c>
      <c r="K35" s="445"/>
      <c r="L35" s="488">
        <v>0</v>
      </c>
      <c r="M35" s="489"/>
      <c r="N35" s="488"/>
      <c r="O35" s="489"/>
      <c r="P35" s="490">
        <f t="shared" si="18"/>
        <v>0</v>
      </c>
      <c r="Q35" s="491"/>
      <c r="R35" s="488">
        <f>ROUND(IF(L35="","",部位U計算!$F$114),2)</f>
        <v>1.18</v>
      </c>
      <c r="S35" s="489"/>
      <c r="T35" s="498"/>
      <c r="U35" s="499"/>
      <c r="V35" s="356">
        <f t="shared" si="19"/>
        <v>0</v>
      </c>
      <c r="W35" s="357"/>
      <c r="X35" s="356">
        <f t="shared" si="20"/>
        <v>0</v>
      </c>
      <c r="Y35" s="357"/>
      <c r="Z35" s="356">
        <f t="shared" si="21"/>
        <v>0</v>
      </c>
      <c r="AA35" s="375"/>
      <c r="AD35" s="40" t="b">
        <v>1</v>
      </c>
      <c r="AE35" s="40">
        <f t="shared" si="22"/>
        <v>0.7</v>
      </c>
      <c r="AF35" s="40">
        <f t="shared" si="23"/>
        <v>0</v>
      </c>
    </row>
    <row r="36" spans="2:32" s="37" customFormat="1" ht="21.95" customHeight="1">
      <c r="C36" s="41"/>
      <c r="D36" s="41"/>
      <c r="E36" s="41"/>
      <c r="F36" s="41"/>
      <c r="G36" s="41"/>
      <c r="H36" s="41"/>
      <c r="I36" s="41"/>
      <c r="J36" s="419" t="s">
        <v>388</v>
      </c>
      <c r="K36" s="445"/>
      <c r="L36" s="488">
        <v>0</v>
      </c>
      <c r="M36" s="489"/>
      <c r="N36" s="488"/>
      <c r="O36" s="489"/>
      <c r="P36" s="490">
        <f>IF(L36="","",L36-N36)</f>
        <v>0</v>
      </c>
      <c r="Q36" s="491"/>
      <c r="R36" s="370">
        <f>ROUND(IF(L36="","",部位U計算!$F$128),2)</f>
        <v>0.49</v>
      </c>
      <c r="S36" s="370"/>
      <c r="T36" s="371"/>
      <c r="U36" s="371"/>
      <c r="V36" s="358">
        <f>IF(P36="","",IF(AD36=TRUE,0,P36*R36*0.034*$V$4))</f>
        <v>0</v>
      </c>
      <c r="W36" s="358"/>
      <c r="X36" s="356">
        <f>IF(P36="","",IF(ISERROR(P36*R36*0.034*$X$4),"-",IF(AD36=TRUE,0,P36*R36*0.034*$X$4)))</f>
        <v>0</v>
      </c>
      <c r="Y36" s="357"/>
      <c r="Z36" s="358">
        <f>IF(R36="","",IF(AD36=TRUE,0.7*R36*P36,R36*P36))</f>
        <v>0</v>
      </c>
      <c r="AA36" s="359"/>
      <c r="AD36" s="40" t="b">
        <v>0</v>
      </c>
      <c r="AE36" s="40">
        <f>IF(AD36=TRUE,0.7,1)</f>
        <v>1</v>
      </c>
      <c r="AF36" s="40" t="str">
        <f>IF(AD36=TRUE,0,"セル")</f>
        <v>セル</v>
      </c>
    </row>
    <row r="37" spans="2:32" s="37" customFormat="1" ht="21.95" customHeight="1" thickBot="1">
      <c r="J37" s="350" t="s">
        <v>388</v>
      </c>
      <c r="K37" s="351"/>
      <c r="L37" s="346">
        <v>0</v>
      </c>
      <c r="M37" s="347"/>
      <c r="N37" s="346"/>
      <c r="O37" s="347"/>
      <c r="P37" s="348">
        <f>IF(L37="","",L37-N37)</f>
        <v>0</v>
      </c>
      <c r="Q37" s="349"/>
      <c r="R37" s="365">
        <f>ROUND(IF(L37="","",部位U計算!$F$142),2)</f>
        <v>1.18</v>
      </c>
      <c r="S37" s="365"/>
      <c r="T37" s="366"/>
      <c r="U37" s="366"/>
      <c r="V37" s="367">
        <f>IF(P37="","",IF(AD37=TRUE,0,P37*R37*0.034*$V$4))</f>
        <v>0</v>
      </c>
      <c r="W37" s="367"/>
      <c r="X37" s="372">
        <f>IF(P37="","",IF(ISERROR(P37*R37*0.034*$X$4),"-",IF(AD37=TRUE,0,P37*R37*0.034*$X$4)))</f>
        <v>0</v>
      </c>
      <c r="Y37" s="373"/>
      <c r="Z37" s="367">
        <f>IF(R37="","",IF(AD37=TRUE,0.7*R37*P37,R37*P37))</f>
        <v>0</v>
      </c>
      <c r="AA37" s="374"/>
      <c r="AD37" s="40" t="b">
        <v>1</v>
      </c>
      <c r="AE37" s="40">
        <f>IF(AD37=TRUE,0.7,1)</f>
        <v>0.7</v>
      </c>
      <c r="AF37" s="40">
        <f>IF(AD37=TRUE,0,"セル")</f>
        <v>0</v>
      </c>
    </row>
    <row r="38" spans="2:32" s="37" customFormat="1" ht="21.95" customHeight="1" thickBot="1">
      <c r="J38" s="408" t="s">
        <v>127</v>
      </c>
      <c r="K38" s="409"/>
      <c r="L38" s="409"/>
      <c r="M38" s="409"/>
      <c r="N38" s="409"/>
      <c r="O38" s="409"/>
      <c r="P38" s="409"/>
      <c r="Q38" s="409"/>
      <c r="R38" s="409"/>
      <c r="S38" s="409"/>
      <c r="T38" s="409"/>
      <c r="U38" s="468"/>
      <c r="V38" s="344">
        <f>SUM(V33:W37)</f>
        <v>0.23963485770000004</v>
      </c>
      <c r="W38" s="344"/>
      <c r="X38" s="344">
        <f>SUM(X33:Y37)</f>
        <v>0.51681619080000007</v>
      </c>
      <c r="Y38" s="344"/>
      <c r="Z38" s="344">
        <f>SUM(Z33:AA37)</f>
        <v>16.239825</v>
      </c>
      <c r="AA38" s="345"/>
    </row>
    <row r="39" spans="2:32" s="37" customFormat="1" ht="9.9499999999999993" customHeight="1"/>
    <row r="40" spans="2:32" s="37" customFormat="1" ht="21.95" customHeight="1" thickBot="1">
      <c r="B40" s="38" t="s">
        <v>128</v>
      </c>
    </row>
    <row r="41" spans="2:32" s="37" customFormat="1" ht="21.95" customHeight="1">
      <c r="B41" s="327" t="s">
        <v>105</v>
      </c>
      <c r="C41" s="328"/>
      <c r="D41" s="333" t="s">
        <v>56</v>
      </c>
      <c r="E41" s="334"/>
      <c r="F41" s="334"/>
      <c r="G41" s="334"/>
      <c r="H41" s="334"/>
      <c r="I41" s="334"/>
      <c r="J41" s="335"/>
      <c r="K41" s="42"/>
      <c r="L41" s="336">
        <f>Q41+U41+Y41</f>
        <v>52.83</v>
      </c>
      <c r="M41" s="336"/>
      <c r="N41" s="336"/>
      <c r="O41" s="42" t="s">
        <v>24</v>
      </c>
      <c r="P41" s="43" t="s">
        <v>23</v>
      </c>
      <c r="Q41" s="337">
        <f>D8*F8+D9*F9+D10*F10+D11*F11+D12*F12+D13*F13+D14*F14+D15*F15+D16*F16+D17*F17+D18*F18+D19*F19</f>
        <v>19.6875</v>
      </c>
      <c r="R41" s="337"/>
      <c r="S41" s="44" t="s">
        <v>25</v>
      </c>
      <c r="T41" s="44" t="s">
        <v>22</v>
      </c>
      <c r="U41" s="338">
        <f>N25*P25+N26*P26+N27*P27</f>
        <v>0</v>
      </c>
      <c r="V41" s="338"/>
      <c r="W41" s="44" t="s">
        <v>25</v>
      </c>
      <c r="X41" s="44" t="s">
        <v>1</v>
      </c>
      <c r="Y41" s="339">
        <f>SUM(P33:Q37)</f>
        <v>33.142499999999998</v>
      </c>
      <c r="Z41" s="339"/>
      <c r="AA41" s="45" t="s">
        <v>19</v>
      </c>
    </row>
    <row r="42" spans="2:32" s="37" customFormat="1" ht="21.95" customHeight="1">
      <c r="B42" s="329"/>
      <c r="C42" s="330"/>
      <c r="D42" s="340" t="s">
        <v>72</v>
      </c>
      <c r="E42" s="341"/>
      <c r="F42" s="341"/>
      <c r="G42" s="341"/>
      <c r="H42" s="341"/>
      <c r="I42" s="341"/>
      <c r="J42" s="342"/>
      <c r="K42" s="46"/>
      <c r="L42" s="46"/>
      <c r="M42" s="46"/>
      <c r="N42" s="46"/>
      <c r="O42" s="46"/>
      <c r="P42" s="46"/>
      <c r="Q42" s="46"/>
      <c r="R42" s="46"/>
      <c r="S42" s="46"/>
      <c r="T42" s="46"/>
      <c r="U42" s="46"/>
      <c r="V42" s="46"/>
      <c r="W42" s="343">
        <f>V20+V28+V38</f>
        <v>3.8949184827000005</v>
      </c>
      <c r="X42" s="343"/>
      <c r="Y42" s="343"/>
      <c r="Z42" s="46"/>
      <c r="AA42" s="47"/>
    </row>
    <row r="43" spans="2:32" s="37" customFormat="1" ht="21.95" customHeight="1">
      <c r="B43" s="329"/>
      <c r="C43" s="330"/>
      <c r="D43" s="340" t="s">
        <v>73</v>
      </c>
      <c r="E43" s="341"/>
      <c r="F43" s="341"/>
      <c r="G43" s="341"/>
      <c r="H43" s="341"/>
      <c r="I43" s="341"/>
      <c r="J43" s="342"/>
      <c r="K43" s="46"/>
      <c r="L43" s="46"/>
      <c r="M43" s="46"/>
      <c r="N43" s="46"/>
      <c r="O43" s="46"/>
      <c r="P43" s="46"/>
      <c r="Q43" s="46"/>
      <c r="R43" s="46"/>
      <c r="S43" s="46"/>
      <c r="T43" s="46"/>
      <c r="U43" s="46"/>
      <c r="V43" s="46"/>
      <c r="W43" s="343">
        <f>X20+X28+X38</f>
        <v>4.8399076908000005</v>
      </c>
      <c r="X43" s="343"/>
      <c r="Y43" s="343"/>
      <c r="Z43" s="46"/>
      <c r="AA43" s="47"/>
    </row>
    <row r="44" spans="2:32" s="37" customFormat="1" ht="21.95" customHeight="1" thickBot="1">
      <c r="B44" s="331"/>
      <c r="C44" s="332"/>
      <c r="D44" s="352" t="s">
        <v>20</v>
      </c>
      <c r="E44" s="353"/>
      <c r="F44" s="353"/>
      <c r="G44" s="353"/>
      <c r="H44" s="353"/>
      <c r="I44" s="353"/>
      <c r="J44" s="354"/>
      <c r="K44" s="48"/>
      <c r="L44" s="48"/>
      <c r="M44" s="48"/>
      <c r="N44" s="48"/>
      <c r="O44" s="48"/>
      <c r="P44" s="48"/>
      <c r="Q44" s="48"/>
      <c r="R44" s="48"/>
      <c r="S44" s="48"/>
      <c r="T44" s="48"/>
      <c r="U44" s="48"/>
      <c r="V44" s="48"/>
      <c r="W44" s="355">
        <f>Z20+Z28+Z38</f>
        <v>81.858916674855664</v>
      </c>
      <c r="X44" s="355"/>
      <c r="Y44" s="355"/>
      <c r="Z44" s="49" t="s">
        <v>21</v>
      </c>
      <c r="AA44" s="50"/>
    </row>
    <row r="45" spans="2:32" s="37" customFormat="1" ht="21.95" customHeight="1"/>
    <row r="46" spans="2:32" s="37" customFormat="1" ht="21.95" customHeight="1"/>
    <row r="47" spans="2:32" s="37" customFormat="1" ht="21.95" customHeight="1"/>
    <row r="48" spans="2:32" s="37" customFormat="1" ht="21.95" customHeight="1"/>
    <row r="49" s="37" customFormat="1" ht="21.95" customHeight="1"/>
    <row r="50" s="37" customFormat="1" ht="21.95" customHeight="1"/>
    <row r="51" s="37" customFormat="1" ht="21.95" customHeight="1"/>
    <row r="52" s="37" customFormat="1" ht="21.95" customHeight="1"/>
    <row r="53" s="37" customFormat="1" ht="21.95" customHeight="1"/>
    <row r="54" s="37" customFormat="1" ht="21.95" customHeight="1"/>
    <row r="55" s="37" customFormat="1" ht="21.95" customHeight="1"/>
    <row r="56" s="37" customFormat="1" ht="21.95" customHeight="1"/>
    <row r="57" s="37" customFormat="1" ht="21.95" customHeight="1"/>
    <row r="58" s="37" customFormat="1" ht="21.95" customHeight="1"/>
    <row r="59" s="37" customFormat="1" ht="21.95" customHeight="1"/>
    <row r="60" s="37" customFormat="1" ht="21.95" customHeight="1"/>
    <row r="61" s="37" customFormat="1" ht="24.95" customHeight="1"/>
    <row r="62" s="37" customFormat="1" ht="24.95" customHeight="1"/>
    <row r="63" s="37" customFormat="1" ht="24.95" customHeight="1"/>
    <row r="64" s="37" customFormat="1" ht="24.95" customHeight="1"/>
    <row r="65" s="37" customFormat="1" ht="24.95" customHeight="1"/>
    <row r="66" s="37" customFormat="1" ht="24.95" customHeight="1"/>
    <row r="67" s="37" customFormat="1" ht="24.95" customHeight="1"/>
    <row r="68" s="37" customFormat="1" ht="24.95" customHeight="1"/>
    <row r="69" s="37" customFormat="1" ht="24.95" customHeight="1"/>
    <row r="70" s="37" customFormat="1" ht="24.95" customHeight="1"/>
    <row r="71" s="37" customFormat="1" ht="24.95" customHeight="1"/>
    <row r="72" s="37" customFormat="1" ht="24.95" customHeight="1"/>
    <row r="73" s="37" customFormat="1" ht="24.95" customHeight="1"/>
    <row r="74" s="37" customFormat="1" ht="24.95" customHeight="1"/>
    <row r="75" s="37" customFormat="1" ht="24.95" customHeight="1"/>
    <row r="76" s="37" customFormat="1" ht="24.95" customHeight="1"/>
    <row r="77" s="37" customFormat="1" ht="24.95" customHeight="1"/>
    <row r="78" s="37" customFormat="1" ht="24.95" customHeight="1"/>
    <row r="79" s="37" customFormat="1" ht="24.95" customHeight="1"/>
    <row r="80" s="37" customFormat="1" ht="24.95" customHeight="1"/>
    <row r="81" s="37" customFormat="1" ht="24.95" customHeight="1"/>
    <row r="82" s="37" customFormat="1" ht="24.95" customHeight="1"/>
    <row r="83" s="37" customFormat="1" ht="24.95" customHeight="1"/>
    <row r="84" s="37" customFormat="1" ht="24.95" customHeight="1"/>
    <row r="85" s="37" customFormat="1" ht="24.95" customHeight="1"/>
    <row r="86" s="37" customFormat="1" ht="24.95" customHeight="1"/>
    <row r="87" s="37" customFormat="1" ht="24.95" customHeight="1"/>
    <row r="88" s="37" customFormat="1" ht="24.95" customHeight="1"/>
    <row r="89" s="37" customFormat="1" ht="24.95" customHeight="1"/>
    <row r="90" s="37" customFormat="1" ht="24.95" customHeight="1"/>
    <row r="91" s="37" customFormat="1" ht="24.95" customHeight="1"/>
    <row r="92" s="37" customFormat="1" ht="24.95" customHeight="1"/>
    <row r="93" s="37" customFormat="1" ht="24.95" customHeight="1"/>
    <row r="94" s="51" customFormat="1" ht="24.95" customHeight="1"/>
    <row r="95" s="51" customFormat="1"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sheetData>
  <sheetProtection algorithmName="SHA-512" hashValue="deKcOS8PQnLRXbFzx3awdeFlf8toZzAQwcYsGVpUOSwPDmqhoZPq0wVmmewskfBs1UtJI93Ya5z6cW5/M35gCA==" saltValue="JmpLiliZYWG7A3ihtgOlJw==" spinCount="100000" sheet="1" objects="1" scenarios="1" selectLockedCells="1"/>
  <mergeCells count="293">
    <mergeCell ref="L34:M34"/>
    <mergeCell ref="L35:M35"/>
    <mergeCell ref="N34:O34"/>
    <mergeCell ref="N35:O35"/>
    <mergeCell ref="P34:Q34"/>
    <mergeCell ref="P35:Q35"/>
    <mergeCell ref="R34:S34"/>
    <mergeCell ref="R35:S35"/>
    <mergeCell ref="V34:W34"/>
    <mergeCell ref="V35:W35"/>
    <mergeCell ref="T34:U34"/>
    <mergeCell ref="T35:U35"/>
    <mergeCell ref="V12:W12"/>
    <mergeCell ref="V13:W13"/>
    <mergeCell ref="X12:Y12"/>
    <mergeCell ref="X13:Y13"/>
    <mergeCell ref="Z12:AA12"/>
    <mergeCell ref="Z13:AA13"/>
    <mergeCell ref="J26:M26"/>
    <mergeCell ref="N26:O26"/>
    <mergeCell ref="P26:Q26"/>
    <mergeCell ref="R26:S26"/>
    <mergeCell ref="T26:U26"/>
    <mergeCell ref="V26:W26"/>
    <mergeCell ref="X26:Y26"/>
    <mergeCell ref="Z26:AA26"/>
    <mergeCell ref="N12:O12"/>
    <mergeCell ref="N13:O13"/>
    <mergeCell ref="L12:M12"/>
    <mergeCell ref="L13:M13"/>
    <mergeCell ref="P12:Q12"/>
    <mergeCell ref="P13:Q13"/>
    <mergeCell ref="R12:S12"/>
    <mergeCell ref="R13:S13"/>
    <mergeCell ref="T12:U12"/>
    <mergeCell ref="T13:U13"/>
    <mergeCell ref="B12:C12"/>
    <mergeCell ref="B13:C13"/>
    <mergeCell ref="D12:E12"/>
    <mergeCell ref="D13:E13"/>
    <mergeCell ref="F12:G12"/>
    <mergeCell ref="F13:G13"/>
    <mergeCell ref="H12:I12"/>
    <mergeCell ref="H13:I13"/>
    <mergeCell ref="J12:K12"/>
    <mergeCell ref="J13:K13"/>
    <mergeCell ref="J34:K34"/>
    <mergeCell ref="J35:K35"/>
    <mergeCell ref="J27:M27"/>
    <mergeCell ref="J31:K32"/>
    <mergeCell ref="J28:U28"/>
    <mergeCell ref="J38:U38"/>
    <mergeCell ref="D6:E7"/>
    <mergeCell ref="F6:G7"/>
    <mergeCell ref="N6:O7"/>
    <mergeCell ref="P6:U6"/>
    <mergeCell ref="N8:O8"/>
    <mergeCell ref="P8:Q8"/>
    <mergeCell ref="T10:U10"/>
    <mergeCell ref="T14:U14"/>
    <mergeCell ref="T16:U16"/>
    <mergeCell ref="N25:O25"/>
    <mergeCell ref="P25:Q25"/>
    <mergeCell ref="R25:S25"/>
    <mergeCell ref="T25:U25"/>
    <mergeCell ref="J23:M24"/>
    <mergeCell ref="J25:M25"/>
    <mergeCell ref="L36:M36"/>
    <mergeCell ref="N36:O36"/>
    <mergeCell ref="P36:Q36"/>
    <mergeCell ref="J36:K36"/>
    <mergeCell ref="J33:K33"/>
    <mergeCell ref="B2:AA2"/>
    <mergeCell ref="R4:U4"/>
    <mergeCell ref="V4:W4"/>
    <mergeCell ref="X4:Y4"/>
    <mergeCell ref="B5:C7"/>
    <mergeCell ref="D5:G5"/>
    <mergeCell ref="H5:I7"/>
    <mergeCell ref="J5:K7"/>
    <mergeCell ref="L5:M7"/>
    <mergeCell ref="N5:U5"/>
    <mergeCell ref="J8:K8"/>
    <mergeCell ref="L8:M8"/>
    <mergeCell ref="R8:S8"/>
    <mergeCell ref="T8:U8"/>
    <mergeCell ref="V8:W8"/>
    <mergeCell ref="J10:K10"/>
    <mergeCell ref="L10:M10"/>
    <mergeCell ref="N10:O10"/>
    <mergeCell ref="P10:Q10"/>
    <mergeCell ref="R10:S10"/>
    <mergeCell ref="X8:Y8"/>
    <mergeCell ref="Z8:AA8"/>
    <mergeCell ref="AD6:AE6"/>
    <mergeCell ref="AH6:AI6"/>
    <mergeCell ref="AK6:AL6"/>
    <mergeCell ref="AN6:AO6"/>
    <mergeCell ref="P7:Q7"/>
    <mergeCell ref="R7:S7"/>
    <mergeCell ref="T7:U7"/>
    <mergeCell ref="V5:W7"/>
    <mergeCell ref="X5:Y7"/>
    <mergeCell ref="Z5:AA7"/>
    <mergeCell ref="B9:C9"/>
    <mergeCell ref="D9:E9"/>
    <mergeCell ref="F9:G9"/>
    <mergeCell ref="H9:I9"/>
    <mergeCell ref="J9:K9"/>
    <mergeCell ref="L9:M9"/>
    <mergeCell ref="N9:O9"/>
    <mergeCell ref="P9:Q9"/>
    <mergeCell ref="R9:S9"/>
    <mergeCell ref="T9:U9"/>
    <mergeCell ref="V9:W9"/>
    <mergeCell ref="X9:Y9"/>
    <mergeCell ref="Z9:AA9"/>
    <mergeCell ref="B8:C8"/>
    <mergeCell ref="D8:E8"/>
    <mergeCell ref="F8:G8"/>
    <mergeCell ref="H8:I8"/>
    <mergeCell ref="L14:M14"/>
    <mergeCell ref="N14:O14"/>
    <mergeCell ref="P14:Q14"/>
    <mergeCell ref="R14:S14"/>
    <mergeCell ref="V10:W10"/>
    <mergeCell ref="X10:Y10"/>
    <mergeCell ref="Z10:AA10"/>
    <mergeCell ref="B11:C11"/>
    <mergeCell ref="D11:E11"/>
    <mergeCell ref="F11:G11"/>
    <mergeCell ref="H11:I11"/>
    <mergeCell ref="J11:K11"/>
    <mergeCell ref="L11:M11"/>
    <mergeCell ref="N11:O11"/>
    <mergeCell ref="P11:Q11"/>
    <mergeCell ref="R11:S11"/>
    <mergeCell ref="T11:U11"/>
    <mergeCell ref="V11:W11"/>
    <mergeCell ref="X11:Y11"/>
    <mergeCell ref="Z11:AA11"/>
    <mergeCell ref="B10:C10"/>
    <mergeCell ref="D10:E10"/>
    <mergeCell ref="F10:G10"/>
    <mergeCell ref="H10:I10"/>
    <mergeCell ref="N16:O16"/>
    <mergeCell ref="P16:Q16"/>
    <mergeCell ref="R16:S16"/>
    <mergeCell ref="V14:W14"/>
    <mergeCell ref="X14:Y14"/>
    <mergeCell ref="Z14:AA14"/>
    <mergeCell ref="B15:C15"/>
    <mergeCell ref="D15:E15"/>
    <mergeCell ref="F15:G15"/>
    <mergeCell ref="H15:I15"/>
    <mergeCell ref="J15:K15"/>
    <mergeCell ref="L15:M15"/>
    <mergeCell ref="N15:O15"/>
    <mergeCell ref="P15:Q15"/>
    <mergeCell ref="R15:S15"/>
    <mergeCell ref="T15:U15"/>
    <mergeCell ref="V15:W15"/>
    <mergeCell ref="X15:Y15"/>
    <mergeCell ref="Z15:AA15"/>
    <mergeCell ref="B14:C14"/>
    <mergeCell ref="D14:E14"/>
    <mergeCell ref="F14:G14"/>
    <mergeCell ref="H14:I14"/>
    <mergeCell ref="J14:K14"/>
    <mergeCell ref="Z18:AA18"/>
    <mergeCell ref="X18:Y18"/>
    <mergeCell ref="V16:W16"/>
    <mergeCell ref="X16:Y16"/>
    <mergeCell ref="Z16:AA16"/>
    <mergeCell ref="B17:C17"/>
    <mergeCell ref="D17:E17"/>
    <mergeCell ref="F17:G17"/>
    <mergeCell ref="H17:I17"/>
    <mergeCell ref="J17:K17"/>
    <mergeCell ref="L17:M17"/>
    <mergeCell ref="N17:O17"/>
    <mergeCell ref="P17:Q17"/>
    <mergeCell ref="R17:S17"/>
    <mergeCell ref="T17:U17"/>
    <mergeCell ref="V17:W17"/>
    <mergeCell ref="X17:Y17"/>
    <mergeCell ref="Z17:AA17"/>
    <mergeCell ref="B16:C16"/>
    <mergeCell ref="D16:E16"/>
    <mergeCell ref="F16:G16"/>
    <mergeCell ref="H16:I16"/>
    <mergeCell ref="J16:K16"/>
    <mergeCell ref="L16:M16"/>
    <mergeCell ref="R18:S18"/>
    <mergeCell ref="T18:U18"/>
    <mergeCell ref="V18:W18"/>
    <mergeCell ref="B18:C18"/>
    <mergeCell ref="D18:E18"/>
    <mergeCell ref="F18:G18"/>
    <mergeCell ref="H18:I18"/>
    <mergeCell ref="J18:K18"/>
    <mergeCell ref="L18:M18"/>
    <mergeCell ref="N18:O18"/>
    <mergeCell ref="P18:Q18"/>
    <mergeCell ref="X19:Y19"/>
    <mergeCell ref="Z19:AA19"/>
    <mergeCell ref="B20:U20"/>
    <mergeCell ref="V20:W20"/>
    <mergeCell ref="X20:Y20"/>
    <mergeCell ref="Z20:AA20"/>
    <mergeCell ref="L19:M19"/>
    <mergeCell ref="N19:O19"/>
    <mergeCell ref="P19:Q19"/>
    <mergeCell ref="R19:S19"/>
    <mergeCell ref="B19:C19"/>
    <mergeCell ref="D19:E19"/>
    <mergeCell ref="F19:G19"/>
    <mergeCell ref="H19:I19"/>
    <mergeCell ref="J19:K19"/>
    <mergeCell ref="T19:U19"/>
    <mergeCell ref="V19:W19"/>
    <mergeCell ref="AN21:AO21"/>
    <mergeCell ref="N23:Q23"/>
    <mergeCell ref="R23:S24"/>
    <mergeCell ref="T23:U24"/>
    <mergeCell ref="V23:W24"/>
    <mergeCell ref="X23:Y24"/>
    <mergeCell ref="Z23:AA24"/>
    <mergeCell ref="AN23:AO23"/>
    <mergeCell ref="N24:O24"/>
    <mergeCell ref="P24:Q24"/>
    <mergeCell ref="V25:W25"/>
    <mergeCell ref="X25:Y25"/>
    <mergeCell ref="Z25:AA25"/>
    <mergeCell ref="N27:O27"/>
    <mergeCell ref="P27:Q27"/>
    <mergeCell ref="R27:S27"/>
    <mergeCell ref="T27:U27"/>
    <mergeCell ref="V27:W27"/>
    <mergeCell ref="X27:Y27"/>
    <mergeCell ref="Z27:AA27"/>
    <mergeCell ref="V28:W28"/>
    <mergeCell ref="X28:Y28"/>
    <mergeCell ref="Z28:AA28"/>
    <mergeCell ref="L31:M32"/>
    <mergeCell ref="N31:O32"/>
    <mergeCell ref="P31:Q32"/>
    <mergeCell ref="R31:S32"/>
    <mergeCell ref="T31:U32"/>
    <mergeCell ref="L33:M33"/>
    <mergeCell ref="N33:O33"/>
    <mergeCell ref="P33:Q33"/>
    <mergeCell ref="R33:S33"/>
    <mergeCell ref="T33:U33"/>
    <mergeCell ref="V33:W33"/>
    <mergeCell ref="X36:Y36"/>
    <mergeCell ref="Z36:AA36"/>
    <mergeCell ref="V31:W32"/>
    <mergeCell ref="X31:Y32"/>
    <mergeCell ref="Z31:AA32"/>
    <mergeCell ref="X33:Y33"/>
    <mergeCell ref="R37:S37"/>
    <mergeCell ref="T37:U37"/>
    <mergeCell ref="V37:W37"/>
    <mergeCell ref="Z33:AA33"/>
    <mergeCell ref="R36:S36"/>
    <mergeCell ref="T36:U36"/>
    <mergeCell ref="V36:W36"/>
    <mergeCell ref="X37:Y37"/>
    <mergeCell ref="Z37:AA37"/>
    <mergeCell ref="X34:Y34"/>
    <mergeCell ref="X35:Y35"/>
    <mergeCell ref="Z34:AA34"/>
    <mergeCell ref="Z35:AA35"/>
    <mergeCell ref="V38:W38"/>
    <mergeCell ref="X38:Y38"/>
    <mergeCell ref="Z38:AA38"/>
    <mergeCell ref="L37:M37"/>
    <mergeCell ref="N37:O37"/>
    <mergeCell ref="P37:Q37"/>
    <mergeCell ref="J37:K37"/>
    <mergeCell ref="D44:J44"/>
    <mergeCell ref="W44:Y44"/>
    <mergeCell ref="B41:C44"/>
    <mergeCell ref="D41:J41"/>
    <mergeCell ref="L41:N41"/>
    <mergeCell ref="Q41:R41"/>
    <mergeCell ref="U41:V41"/>
    <mergeCell ref="Y41:Z41"/>
    <mergeCell ref="D42:J42"/>
    <mergeCell ref="W42:Y42"/>
    <mergeCell ref="D43:J43"/>
    <mergeCell ref="W43:Y43"/>
  </mergeCells>
  <phoneticPr fontId="2"/>
  <conditionalFormatting sqref="V20:W20">
    <cfRule type="expression" dxfId="193" priority="51" stopIfTrue="1">
      <formula>$V$20=0</formula>
    </cfRule>
  </conditionalFormatting>
  <conditionalFormatting sqref="X20:Y20">
    <cfRule type="expression" dxfId="192" priority="50" stopIfTrue="1">
      <formula>$X$20=0</formula>
    </cfRule>
  </conditionalFormatting>
  <conditionalFormatting sqref="Z20:AA20">
    <cfRule type="expression" dxfId="191" priority="49" stopIfTrue="1">
      <formula>$Z$20=0</formula>
    </cfRule>
  </conditionalFormatting>
  <conditionalFormatting sqref="V28:W28">
    <cfRule type="expression" dxfId="190" priority="48" stopIfTrue="1">
      <formula>$V$28:$W$28=0</formula>
    </cfRule>
  </conditionalFormatting>
  <conditionalFormatting sqref="V38:W38">
    <cfRule type="expression" dxfId="189" priority="47" stopIfTrue="1">
      <formula>$V$38:$W$38=0</formula>
    </cfRule>
  </conditionalFormatting>
  <conditionalFormatting sqref="Y41:Z41">
    <cfRule type="expression" dxfId="188" priority="46" stopIfTrue="1">
      <formula>$Y$41=0</formula>
    </cfRule>
  </conditionalFormatting>
  <conditionalFormatting sqref="Q41:R41">
    <cfRule type="expression" dxfId="187" priority="45" stopIfTrue="1">
      <formula>$Q$41=0</formula>
    </cfRule>
  </conditionalFormatting>
  <conditionalFormatting sqref="U41:V41">
    <cfRule type="expression" dxfId="186" priority="44" stopIfTrue="1">
      <formula>$U$41=0</formula>
    </cfRule>
  </conditionalFormatting>
  <conditionalFormatting sqref="L41:N41">
    <cfRule type="expression" dxfId="185" priority="43" stopIfTrue="1">
      <formula>$L$41=0</formula>
    </cfRule>
  </conditionalFormatting>
  <conditionalFormatting sqref="X8:Y8">
    <cfRule type="expression" dxfId="184" priority="41" stopIfTrue="1">
      <formula>#VALUE!</formula>
    </cfRule>
    <cfRule type="expression" dxfId="183" priority="42" stopIfTrue="1">
      <formula>#VALUE!</formula>
    </cfRule>
  </conditionalFormatting>
  <conditionalFormatting sqref="X19:Y19">
    <cfRule type="expression" dxfId="182" priority="40" stopIfTrue="1">
      <formula>#VALUE!</formula>
    </cfRule>
  </conditionalFormatting>
  <conditionalFormatting sqref="X8:Y8">
    <cfRule type="expression" dxfId="181" priority="28" stopIfTrue="1">
      <formula>#VALUE!</formula>
    </cfRule>
    <cfRule type="expression" dxfId="180" priority="29" stopIfTrue="1">
      <formula>#VALUE!</formula>
    </cfRule>
  </conditionalFormatting>
  <conditionalFormatting sqref="X19:Y19">
    <cfRule type="expression" dxfId="179" priority="27" stopIfTrue="1">
      <formula>#VALUE!</formula>
    </cfRule>
  </conditionalFormatting>
  <conditionalFormatting sqref="X28:Y28">
    <cfRule type="expression" dxfId="178" priority="26" stopIfTrue="1">
      <formula>$X$28:$Y$28=0</formula>
    </cfRule>
  </conditionalFormatting>
  <conditionalFormatting sqref="Z28:AA28">
    <cfRule type="expression" dxfId="177" priority="25" stopIfTrue="1">
      <formula>$Z$28:$AA$28=0</formula>
    </cfRule>
  </conditionalFormatting>
  <conditionalFormatting sqref="X38:Y38">
    <cfRule type="expression" dxfId="176" priority="24" stopIfTrue="1">
      <formula>$X$38:$Y$38=0</formula>
    </cfRule>
  </conditionalFormatting>
  <conditionalFormatting sqref="Z38:AA38">
    <cfRule type="expression" dxfId="175" priority="23" stopIfTrue="1">
      <formula>$Z$38:$AA$38=0</formula>
    </cfRule>
  </conditionalFormatting>
  <conditionalFormatting sqref="P8:U8">
    <cfRule type="expression" dxfId="174" priority="12" stopIfTrue="1">
      <formula>$AG$8=TRUE</formula>
    </cfRule>
  </conditionalFormatting>
  <conditionalFormatting sqref="P15:U15">
    <cfRule type="expression" dxfId="173" priority="11" stopIfTrue="1">
      <formula>$AG$15=TRUE</formula>
    </cfRule>
  </conditionalFormatting>
  <conditionalFormatting sqref="P16:U16">
    <cfRule type="expression" dxfId="172" priority="10" stopIfTrue="1">
      <formula>$AG$16=TRUE</formula>
    </cfRule>
  </conditionalFormatting>
  <conditionalFormatting sqref="P17:U17">
    <cfRule type="expression" dxfId="171" priority="9" stopIfTrue="1">
      <formula>$AG$17=TRUE</formula>
    </cfRule>
  </conditionalFormatting>
  <conditionalFormatting sqref="P18:U18">
    <cfRule type="expression" dxfId="170" priority="8" stopIfTrue="1">
      <formula>$AG$18=TRUE</formula>
    </cfRule>
  </conditionalFormatting>
  <conditionalFormatting sqref="P19:U19">
    <cfRule type="expression" dxfId="169" priority="7" stopIfTrue="1">
      <formula>$AG$19=TRUE</formula>
    </cfRule>
  </conditionalFormatting>
  <conditionalFormatting sqref="P10:U10">
    <cfRule type="expression" dxfId="168" priority="6" stopIfTrue="1">
      <formula>$AG$10=TRUE</formula>
    </cfRule>
  </conditionalFormatting>
  <conditionalFormatting sqref="P11:U11">
    <cfRule type="expression" dxfId="167" priority="5" stopIfTrue="1">
      <formula>$AG$11=TRUE</formula>
    </cfRule>
  </conditionalFormatting>
  <conditionalFormatting sqref="P14:U14">
    <cfRule type="expression" dxfId="166" priority="4" stopIfTrue="1">
      <formula>$AG$14=TRUE</formula>
    </cfRule>
  </conditionalFormatting>
  <conditionalFormatting sqref="P9:U9">
    <cfRule type="expression" dxfId="165" priority="3" stopIfTrue="1">
      <formula>$AG$9=TRUE</formula>
    </cfRule>
  </conditionalFormatting>
  <conditionalFormatting sqref="P12:U12">
    <cfRule type="expression" dxfId="164" priority="2">
      <formula>$AG$12=TRUE</formula>
    </cfRule>
  </conditionalFormatting>
  <conditionalFormatting sqref="P13:U13">
    <cfRule type="expression" dxfId="163" priority="1">
      <formula>$AG$13=TRUE</formula>
    </cfRule>
  </conditionalFormatting>
  <dataValidations count="1">
    <dataValidation type="list" allowBlank="1" showInputMessage="1" showErrorMessage="1" sqref="M14:M19 L8:L19 M8:M11 T25:T27 U25 U27">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88" orientation="portrait" horizontalDpi="300" verticalDpi="300" r:id="rId1"/>
  <headerFooter>
    <oddHeader>&amp;Rver. 1.7[H28]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1377" r:id="rId4" name="Check Box 1">
              <controlPr defaultSize="0" autoFill="0" autoLine="0" autoPict="0">
                <anchor moveWithCells="1">
                  <from>
                    <xdr:col>13</xdr:col>
                    <xdr:colOff>190500</xdr:colOff>
                    <xdr:row>7</xdr:row>
                    <xdr:rowOff>47625</xdr:rowOff>
                  </from>
                  <to>
                    <xdr:col>14</xdr:col>
                    <xdr:colOff>200025</xdr:colOff>
                    <xdr:row>7</xdr:row>
                    <xdr:rowOff>257175</xdr:rowOff>
                  </to>
                </anchor>
              </controlPr>
            </control>
          </mc:Choice>
        </mc:AlternateContent>
        <mc:AlternateContent xmlns:mc="http://schemas.openxmlformats.org/markup-compatibility/2006">
          <mc:Choice Requires="x14">
            <control shapeId="101378" r:id="rId5" name="Check Box 2">
              <controlPr defaultSize="0" autoFill="0" autoLine="0" autoPict="0">
                <anchor moveWithCells="1">
                  <from>
                    <xdr:col>13</xdr:col>
                    <xdr:colOff>190500</xdr:colOff>
                    <xdr:row>8</xdr:row>
                    <xdr:rowOff>47625</xdr:rowOff>
                  </from>
                  <to>
                    <xdr:col>14</xdr:col>
                    <xdr:colOff>200025</xdr:colOff>
                    <xdr:row>8</xdr:row>
                    <xdr:rowOff>257175</xdr:rowOff>
                  </to>
                </anchor>
              </controlPr>
            </control>
          </mc:Choice>
        </mc:AlternateContent>
        <mc:AlternateContent xmlns:mc="http://schemas.openxmlformats.org/markup-compatibility/2006">
          <mc:Choice Requires="x14">
            <control shapeId="101379" r:id="rId6" name="Check Box 3">
              <controlPr defaultSize="0" autoFill="0" autoLine="0" autoPict="0">
                <anchor moveWithCells="1">
                  <from>
                    <xdr:col>13</xdr:col>
                    <xdr:colOff>190500</xdr:colOff>
                    <xdr:row>14</xdr:row>
                    <xdr:rowOff>47625</xdr:rowOff>
                  </from>
                  <to>
                    <xdr:col>14</xdr:col>
                    <xdr:colOff>200025</xdr:colOff>
                    <xdr:row>14</xdr:row>
                    <xdr:rowOff>257175</xdr:rowOff>
                  </to>
                </anchor>
              </controlPr>
            </control>
          </mc:Choice>
        </mc:AlternateContent>
        <mc:AlternateContent xmlns:mc="http://schemas.openxmlformats.org/markup-compatibility/2006">
          <mc:Choice Requires="x14">
            <control shapeId="101380" r:id="rId7" name="Check Box 4">
              <controlPr defaultSize="0" autoFill="0" autoLine="0" autoPict="0">
                <anchor moveWithCells="1">
                  <from>
                    <xdr:col>13</xdr:col>
                    <xdr:colOff>190500</xdr:colOff>
                    <xdr:row>15</xdr:row>
                    <xdr:rowOff>47625</xdr:rowOff>
                  </from>
                  <to>
                    <xdr:col>14</xdr:col>
                    <xdr:colOff>200025</xdr:colOff>
                    <xdr:row>15</xdr:row>
                    <xdr:rowOff>257175</xdr:rowOff>
                  </to>
                </anchor>
              </controlPr>
            </control>
          </mc:Choice>
        </mc:AlternateContent>
        <mc:AlternateContent xmlns:mc="http://schemas.openxmlformats.org/markup-compatibility/2006">
          <mc:Choice Requires="x14">
            <control shapeId="101381" r:id="rId8" name="Check Box 5">
              <controlPr defaultSize="0" autoFill="0" autoLine="0" autoPict="0">
                <anchor moveWithCells="1">
                  <from>
                    <xdr:col>13</xdr:col>
                    <xdr:colOff>190500</xdr:colOff>
                    <xdr:row>16</xdr:row>
                    <xdr:rowOff>47625</xdr:rowOff>
                  </from>
                  <to>
                    <xdr:col>14</xdr:col>
                    <xdr:colOff>200025</xdr:colOff>
                    <xdr:row>16</xdr:row>
                    <xdr:rowOff>257175</xdr:rowOff>
                  </to>
                </anchor>
              </controlPr>
            </control>
          </mc:Choice>
        </mc:AlternateContent>
        <mc:AlternateContent xmlns:mc="http://schemas.openxmlformats.org/markup-compatibility/2006">
          <mc:Choice Requires="x14">
            <control shapeId="101382" r:id="rId9" name="Check Box 6">
              <controlPr defaultSize="0" autoFill="0" autoLine="0" autoPict="0">
                <anchor moveWithCells="1">
                  <from>
                    <xdr:col>13</xdr:col>
                    <xdr:colOff>190500</xdr:colOff>
                    <xdr:row>17</xdr:row>
                    <xdr:rowOff>47625</xdr:rowOff>
                  </from>
                  <to>
                    <xdr:col>14</xdr:col>
                    <xdr:colOff>200025</xdr:colOff>
                    <xdr:row>17</xdr:row>
                    <xdr:rowOff>257175</xdr:rowOff>
                  </to>
                </anchor>
              </controlPr>
            </control>
          </mc:Choice>
        </mc:AlternateContent>
        <mc:AlternateContent xmlns:mc="http://schemas.openxmlformats.org/markup-compatibility/2006">
          <mc:Choice Requires="x14">
            <control shapeId="101383" r:id="rId10" name="Check Box 7">
              <controlPr defaultSize="0" autoFill="0" autoLine="0" autoPict="0">
                <anchor moveWithCells="1">
                  <from>
                    <xdr:col>13</xdr:col>
                    <xdr:colOff>190500</xdr:colOff>
                    <xdr:row>18</xdr:row>
                    <xdr:rowOff>47625</xdr:rowOff>
                  </from>
                  <to>
                    <xdr:col>14</xdr:col>
                    <xdr:colOff>200025</xdr:colOff>
                    <xdr:row>18</xdr:row>
                    <xdr:rowOff>257175</xdr:rowOff>
                  </to>
                </anchor>
              </controlPr>
            </control>
          </mc:Choice>
        </mc:AlternateContent>
        <mc:AlternateContent xmlns:mc="http://schemas.openxmlformats.org/markup-compatibility/2006">
          <mc:Choice Requires="x14">
            <control shapeId="101384" r:id="rId11" name="Check Box 8">
              <controlPr defaultSize="0" autoFill="0" autoLine="0" autoPict="0">
                <anchor moveWithCells="1">
                  <from>
                    <xdr:col>13</xdr:col>
                    <xdr:colOff>190500</xdr:colOff>
                    <xdr:row>9</xdr:row>
                    <xdr:rowOff>47625</xdr:rowOff>
                  </from>
                  <to>
                    <xdr:col>14</xdr:col>
                    <xdr:colOff>200025</xdr:colOff>
                    <xdr:row>9</xdr:row>
                    <xdr:rowOff>257175</xdr:rowOff>
                  </to>
                </anchor>
              </controlPr>
            </control>
          </mc:Choice>
        </mc:AlternateContent>
        <mc:AlternateContent xmlns:mc="http://schemas.openxmlformats.org/markup-compatibility/2006">
          <mc:Choice Requires="x14">
            <control shapeId="101385" r:id="rId12" name="Check Box 9">
              <controlPr defaultSize="0" autoFill="0" autoLine="0" autoPict="0">
                <anchor moveWithCells="1">
                  <from>
                    <xdr:col>13</xdr:col>
                    <xdr:colOff>190500</xdr:colOff>
                    <xdr:row>10</xdr:row>
                    <xdr:rowOff>47625</xdr:rowOff>
                  </from>
                  <to>
                    <xdr:col>14</xdr:col>
                    <xdr:colOff>200025</xdr:colOff>
                    <xdr:row>10</xdr:row>
                    <xdr:rowOff>257175</xdr:rowOff>
                  </to>
                </anchor>
              </controlPr>
            </control>
          </mc:Choice>
        </mc:AlternateContent>
        <mc:AlternateContent xmlns:mc="http://schemas.openxmlformats.org/markup-compatibility/2006">
          <mc:Choice Requires="x14">
            <control shapeId="101386" r:id="rId13" name="Check Box 10">
              <controlPr defaultSize="0" autoFill="0" autoLine="0" autoPict="0">
                <anchor moveWithCells="1">
                  <from>
                    <xdr:col>13</xdr:col>
                    <xdr:colOff>190500</xdr:colOff>
                    <xdr:row>13</xdr:row>
                    <xdr:rowOff>47625</xdr:rowOff>
                  </from>
                  <to>
                    <xdr:col>14</xdr:col>
                    <xdr:colOff>200025</xdr:colOff>
                    <xdr:row>13</xdr:row>
                    <xdr:rowOff>257175</xdr:rowOff>
                  </to>
                </anchor>
              </controlPr>
            </control>
          </mc:Choice>
        </mc:AlternateContent>
        <mc:AlternateContent xmlns:mc="http://schemas.openxmlformats.org/markup-compatibility/2006">
          <mc:Choice Requires="x14">
            <control shapeId="101398" r:id="rId14" name="Check Box 22">
              <controlPr defaultSize="0" autoFill="0" autoLine="0" autoPict="0">
                <anchor moveWithCells="1">
                  <from>
                    <xdr:col>19</xdr:col>
                    <xdr:colOff>190500</xdr:colOff>
                    <xdr:row>32</xdr:row>
                    <xdr:rowOff>47625</xdr:rowOff>
                  </from>
                  <to>
                    <xdr:col>20</xdr:col>
                    <xdr:colOff>200025</xdr:colOff>
                    <xdr:row>32</xdr:row>
                    <xdr:rowOff>257175</xdr:rowOff>
                  </to>
                </anchor>
              </controlPr>
            </control>
          </mc:Choice>
        </mc:AlternateContent>
        <mc:AlternateContent xmlns:mc="http://schemas.openxmlformats.org/markup-compatibility/2006">
          <mc:Choice Requires="x14">
            <control shapeId="101399" r:id="rId15" name="Check Box 23">
              <controlPr defaultSize="0" autoFill="0" autoLine="0" autoPict="0">
                <anchor moveWithCells="1">
                  <from>
                    <xdr:col>19</xdr:col>
                    <xdr:colOff>190500</xdr:colOff>
                    <xdr:row>35</xdr:row>
                    <xdr:rowOff>47625</xdr:rowOff>
                  </from>
                  <to>
                    <xdr:col>20</xdr:col>
                    <xdr:colOff>200025</xdr:colOff>
                    <xdr:row>35</xdr:row>
                    <xdr:rowOff>257175</xdr:rowOff>
                  </to>
                </anchor>
              </controlPr>
            </control>
          </mc:Choice>
        </mc:AlternateContent>
        <mc:AlternateContent xmlns:mc="http://schemas.openxmlformats.org/markup-compatibility/2006">
          <mc:Choice Requires="x14">
            <control shapeId="101400" r:id="rId16" name="Check Box 24">
              <controlPr defaultSize="0" autoFill="0" autoLine="0" autoPict="0">
                <anchor moveWithCells="1">
                  <from>
                    <xdr:col>19</xdr:col>
                    <xdr:colOff>190500</xdr:colOff>
                    <xdr:row>36</xdr:row>
                    <xdr:rowOff>47625</xdr:rowOff>
                  </from>
                  <to>
                    <xdr:col>20</xdr:col>
                    <xdr:colOff>200025</xdr:colOff>
                    <xdr:row>36</xdr:row>
                    <xdr:rowOff>257175</xdr:rowOff>
                  </to>
                </anchor>
              </controlPr>
            </control>
          </mc:Choice>
        </mc:AlternateContent>
        <mc:AlternateContent xmlns:mc="http://schemas.openxmlformats.org/markup-compatibility/2006">
          <mc:Choice Requires="x14">
            <control shapeId="101409" r:id="rId17" name="Check Box 33">
              <controlPr defaultSize="0" autoFill="0" autoLine="0" autoPict="0">
                <anchor moveWithCells="1">
                  <from>
                    <xdr:col>13</xdr:col>
                    <xdr:colOff>190500</xdr:colOff>
                    <xdr:row>11</xdr:row>
                    <xdr:rowOff>47625</xdr:rowOff>
                  </from>
                  <to>
                    <xdr:col>14</xdr:col>
                    <xdr:colOff>200025</xdr:colOff>
                    <xdr:row>11</xdr:row>
                    <xdr:rowOff>257175</xdr:rowOff>
                  </to>
                </anchor>
              </controlPr>
            </control>
          </mc:Choice>
        </mc:AlternateContent>
        <mc:AlternateContent xmlns:mc="http://schemas.openxmlformats.org/markup-compatibility/2006">
          <mc:Choice Requires="x14">
            <control shapeId="101410" r:id="rId18" name="Check Box 34">
              <controlPr defaultSize="0" autoFill="0" autoLine="0" autoPict="0">
                <anchor moveWithCells="1">
                  <from>
                    <xdr:col>13</xdr:col>
                    <xdr:colOff>190500</xdr:colOff>
                    <xdr:row>12</xdr:row>
                    <xdr:rowOff>47625</xdr:rowOff>
                  </from>
                  <to>
                    <xdr:col>14</xdr:col>
                    <xdr:colOff>200025</xdr:colOff>
                    <xdr:row>12</xdr:row>
                    <xdr:rowOff>257175</xdr:rowOff>
                  </to>
                </anchor>
              </controlPr>
            </control>
          </mc:Choice>
        </mc:AlternateContent>
        <mc:AlternateContent xmlns:mc="http://schemas.openxmlformats.org/markup-compatibility/2006">
          <mc:Choice Requires="x14">
            <control shapeId="101411" r:id="rId19" name="Check Box 35">
              <controlPr defaultSize="0" autoFill="0" autoLine="0" autoPict="0">
                <anchor moveWithCells="1">
                  <from>
                    <xdr:col>19</xdr:col>
                    <xdr:colOff>190500</xdr:colOff>
                    <xdr:row>33</xdr:row>
                    <xdr:rowOff>47625</xdr:rowOff>
                  </from>
                  <to>
                    <xdr:col>20</xdr:col>
                    <xdr:colOff>200025</xdr:colOff>
                    <xdr:row>33</xdr:row>
                    <xdr:rowOff>257175</xdr:rowOff>
                  </to>
                </anchor>
              </controlPr>
            </control>
          </mc:Choice>
        </mc:AlternateContent>
        <mc:AlternateContent xmlns:mc="http://schemas.openxmlformats.org/markup-compatibility/2006">
          <mc:Choice Requires="x14">
            <control shapeId="101412" r:id="rId20" name="Check Box 36">
              <controlPr defaultSize="0" autoFill="0" autoLine="0" autoPict="0">
                <anchor moveWithCells="1">
                  <from>
                    <xdr:col>19</xdr:col>
                    <xdr:colOff>190500</xdr:colOff>
                    <xdr:row>34</xdr:row>
                    <xdr:rowOff>47625</xdr:rowOff>
                  </from>
                  <to>
                    <xdr:col>20</xdr:col>
                    <xdr:colOff>200025</xdr:colOff>
                    <xdr:row>34</xdr:row>
                    <xdr:rowOff>257175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AO106"/>
  <sheetViews>
    <sheetView showGridLines="0" view="pageBreakPreview" zoomScaleNormal="100" zoomScaleSheetLayoutView="100" workbookViewId="0">
      <selection activeCell="H18" sqref="H18:I18"/>
    </sheetView>
  </sheetViews>
  <sheetFormatPr defaultRowHeight="13.5"/>
  <cols>
    <col min="1" max="1" width="0.875" style="52" customWidth="1"/>
    <col min="2" max="29" width="3.875" style="52" customWidth="1"/>
    <col min="30" max="31" width="10.625" style="52" hidden="1" customWidth="1"/>
    <col min="32" max="32" width="2.625" style="52" hidden="1" customWidth="1"/>
    <col min="33" max="35" width="10.625" style="52" hidden="1" customWidth="1"/>
    <col min="36" max="36" width="2.625" style="52" hidden="1" customWidth="1"/>
    <col min="37" max="38" width="15.625" style="52" hidden="1" customWidth="1"/>
    <col min="39" max="39" width="2.625" style="52" hidden="1" customWidth="1"/>
    <col min="40" max="41" width="10.625" style="52" hidden="1" customWidth="1"/>
    <col min="42" max="43" width="3.625" style="52" customWidth="1"/>
    <col min="44" max="49" width="4.625" style="52" customWidth="1"/>
    <col min="50" max="16384" width="9" style="52"/>
  </cols>
  <sheetData>
    <row r="1" spans="2:41" ht="3.95" customHeight="1"/>
    <row r="2" spans="2:41" s="36" customFormat="1" ht="30" customHeight="1">
      <c r="B2" s="447" t="s">
        <v>76</v>
      </c>
      <c r="C2" s="447"/>
      <c r="D2" s="447"/>
      <c r="E2" s="447"/>
      <c r="F2" s="447"/>
      <c r="G2" s="447"/>
      <c r="H2" s="447"/>
      <c r="I2" s="447"/>
      <c r="J2" s="447"/>
      <c r="K2" s="447"/>
      <c r="L2" s="447"/>
      <c r="M2" s="447"/>
      <c r="N2" s="447"/>
      <c r="O2" s="447"/>
      <c r="P2" s="447"/>
      <c r="Q2" s="447"/>
      <c r="R2" s="447"/>
      <c r="S2" s="447"/>
      <c r="T2" s="447"/>
      <c r="U2" s="447"/>
      <c r="V2" s="447"/>
      <c r="W2" s="447"/>
      <c r="X2" s="447"/>
      <c r="Y2" s="447"/>
      <c r="Z2" s="447"/>
      <c r="AA2" s="447"/>
    </row>
    <row r="3" spans="2:41" s="37" customFormat="1" ht="24.95" customHeight="1" thickBot="1"/>
    <row r="4" spans="2:41" s="37" customFormat="1" ht="21.95" customHeight="1" thickBot="1">
      <c r="B4" s="38" t="s">
        <v>5</v>
      </c>
      <c r="R4" s="448" t="s">
        <v>35</v>
      </c>
      <c r="S4" s="449"/>
      <c r="T4" s="449"/>
      <c r="U4" s="450"/>
      <c r="V4" s="504">
        <f>IF(共通条件・結果!AA7="８地域","0.325",IF(共通条件・結果!AA7="７地域",0.307,IF(共通条件・結果!AA7="６地域",0.341,IF(共通条件・結果!AA7="５地域",0.373,IF(共通条件・結果!AA7="４地域",0.322,IF(共通条件・結果!AA7="３地域",0.335,IF(共通条件・結果!AA7="２地域",0.341,IF(共通条件・結果!AA7="１地域",0.329))))))))</f>
        <v>0.34100000000000003</v>
      </c>
      <c r="W4" s="505"/>
      <c r="X4" s="506">
        <f>IF(共通条件・結果!AA7="８地域","-",IF(共通条件・結果!AA7="７地域",0.227,IF(共通条件・結果!AA7="６地域",0.261,IF(共通条件・結果!AA7="５地域",0.238,IF(共通条件・結果!AA7="４地域",0.256,IF(共通条件・結果!AA7="３地域",0.284,IF(共通条件・結果!AA7="２地域",0.263,IF(共通条件・結果!AA7="１地域",0.26))))))))</f>
        <v>0.26100000000000001</v>
      </c>
      <c r="Y4" s="507"/>
    </row>
    <row r="5" spans="2:41" s="37" customFormat="1" ht="21.95" customHeight="1">
      <c r="B5" s="453" t="s">
        <v>6</v>
      </c>
      <c r="C5" s="361"/>
      <c r="D5" s="361" t="s">
        <v>91</v>
      </c>
      <c r="E5" s="361"/>
      <c r="F5" s="361"/>
      <c r="G5" s="361"/>
      <c r="H5" s="361" t="s">
        <v>7</v>
      </c>
      <c r="I5" s="361"/>
      <c r="J5" s="360" t="s">
        <v>99</v>
      </c>
      <c r="K5" s="361"/>
      <c r="L5" s="360" t="s">
        <v>10</v>
      </c>
      <c r="M5" s="361"/>
      <c r="N5" s="456" t="s">
        <v>71</v>
      </c>
      <c r="O5" s="457"/>
      <c r="P5" s="457"/>
      <c r="Q5" s="457"/>
      <c r="R5" s="457"/>
      <c r="S5" s="457"/>
      <c r="T5" s="457"/>
      <c r="U5" s="457"/>
      <c r="V5" s="360" t="s">
        <v>66</v>
      </c>
      <c r="W5" s="361"/>
      <c r="X5" s="360" t="s">
        <v>67</v>
      </c>
      <c r="Y5" s="361"/>
      <c r="Z5" s="361" t="s">
        <v>13</v>
      </c>
      <c r="AA5" s="363"/>
    </row>
    <row r="6" spans="2:41" s="37" customFormat="1" ht="21.95" customHeight="1">
      <c r="B6" s="454"/>
      <c r="C6" s="443"/>
      <c r="D6" s="469" t="s">
        <v>9</v>
      </c>
      <c r="E6" s="470"/>
      <c r="F6" s="473" t="s">
        <v>8</v>
      </c>
      <c r="G6" s="474"/>
      <c r="H6" s="443"/>
      <c r="I6" s="443"/>
      <c r="J6" s="442"/>
      <c r="K6" s="443"/>
      <c r="L6" s="442"/>
      <c r="M6" s="443"/>
      <c r="N6" s="476" t="s">
        <v>69</v>
      </c>
      <c r="O6" s="477"/>
      <c r="P6" s="479" t="s">
        <v>70</v>
      </c>
      <c r="Q6" s="480"/>
      <c r="R6" s="480"/>
      <c r="S6" s="480"/>
      <c r="T6" s="480"/>
      <c r="U6" s="481"/>
      <c r="V6" s="442"/>
      <c r="W6" s="443"/>
      <c r="X6" s="442"/>
      <c r="Y6" s="443"/>
      <c r="Z6" s="443"/>
      <c r="AA6" s="444"/>
      <c r="AD6" s="401" t="s">
        <v>74</v>
      </c>
      <c r="AE6" s="401"/>
      <c r="AF6" s="39"/>
      <c r="AG6" s="39"/>
      <c r="AH6" s="401" t="s">
        <v>14</v>
      </c>
      <c r="AI6" s="401"/>
      <c r="AJ6" s="39"/>
      <c r="AK6" s="401" t="s">
        <v>75</v>
      </c>
      <c r="AL6" s="401"/>
      <c r="AN6" s="401" t="s">
        <v>89</v>
      </c>
      <c r="AO6" s="401"/>
    </row>
    <row r="7" spans="2:41" s="37" customFormat="1" ht="21.95" customHeight="1" thickBot="1">
      <c r="B7" s="455"/>
      <c r="C7" s="362"/>
      <c r="D7" s="471"/>
      <c r="E7" s="472"/>
      <c r="F7" s="475"/>
      <c r="G7" s="438"/>
      <c r="H7" s="362"/>
      <c r="I7" s="362"/>
      <c r="J7" s="362"/>
      <c r="K7" s="362"/>
      <c r="L7" s="362"/>
      <c r="M7" s="362"/>
      <c r="N7" s="378"/>
      <c r="O7" s="478"/>
      <c r="P7" s="438" t="s">
        <v>11</v>
      </c>
      <c r="Q7" s="439"/>
      <c r="R7" s="440" t="s">
        <v>12</v>
      </c>
      <c r="S7" s="441"/>
      <c r="T7" s="438" t="s">
        <v>3</v>
      </c>
      <c r="U7" s="439"/>
      <c r="V7" s="362"/>
      <c r="W7" s="362"/>
      <c r="X7" s="362"/>
      <c r="Y7" s="362"/>
      <c r="Z7" s="362"/>
      <c r="AA7" s="364"/>
      <c r="AD7" s="39" t="s">
        <v>4</v>
      </c>
      <c r="AE7" s="39" t="s">
        <v>18</v>
      </c>
      <c r="AF7" s="39"/>
      <c r="AG7" s="39"/>
      <c r="AH7" s="39" t="s">
        <v>4</v>
      </c>
      <c r="AI7" s="39" t="s">
        <v>18</v>
      </c>
      <c r="AJ7" s="39"/>
      <c r="AK7" s="39" t="s">
        <v>4</v>
      </c>
      <c r="AL7" s="39" t="s">
        <v>18</v>
      </c>
      <c r="AN7" s="97" t="s">
        <v>87</v>
      </c>
      <c r="AO7" s="37" t="s">
        <v>85</v>
      </c>
    </row>
    <row r="8" spans="2:41" s="37" customFormat="1" ht="21.95" customHeight="1">
      <c r="B8" s="433"/>
      <c r="C8" s="434"/>
      <c r="D8" s="435">
        <v>0.6</v>
      </c>
      <c r="E8" s="436"/>
      <c r="F8" s="436">
        <v>0.9</v>
      </c>
      <c r="G8" s="437"/>
      <c r="H8" s="392">
        <v>3.49</v>
      </c>
      <c r="I8" s="392"/>
      <c r="J8" s="392">
        <v>0.46</v>
      </c>
      <c r="K8" s="392"/>
      <c r="L8" s="410"/>
      <c r="M8" s="410"/>
      <c r="N8" s="482"/>
      <c r="O8" s="483"/>
      <c r="P8" s="461"/>
      <c r="Q8" s="484"/>
      <c r="R8" s="458"/>
      <c r="S8" s="459"/>
      <c r="T8" s="460"/>
      <c r="U8" s="461"/>
      <c r="V8" s="462">
        <f>IF(D8="","",AD8)</f>
        <v>7.8775092000000019E-2</v>
      </c>
      <c r="W8" s="462"/>
      <c r="X8" s="462">
        <f t="shared" ref="X8:X19" si="0">IF(D8="","",IF(ISERROR(AE8),"-",AE8))</f>
        <v>3.3064524000000005E-2</v>
      </c>
      <c r="Y8" s="462"/>
      <c r="Z8" s="462">
        <f>IF(D8="","",D8*F8*AN8)</f>
        <v>1.8846000000000003</v>
      </c>
      <c r="AA8" s="463"/>
      <c r="AD8" s="37">
        <f>D8*F8*J8*$V$4*AH8</f>
        <v>7.8775092000000019E-2</v>
      </c>
      <c r="AE8" s="37">
        <f>D8*F8*J8*$X$4*AI8</f>
        <v>3.3064524000000005E-2</v>
      </c>
      <c r="AG8" s="40" t="b">
        <v>1</v>
      </c>
      <c r="AH8" s="37" t="str">
        <f>IF(AG8=TRUE,"0.93",IF(ISERROR(AK8),"エラー",IF(AK8&gt;0.93,"0.93",AK8)))</f>
        <v>0.93</v>
      </c>
      <c r="AI8" s="37" t="str">
        <f>IF(AG8=TRUE,"0.51",IF(ISERROR(AL8),"エラー",IF(AL8&gt;0.72,"0.72",AL8)))</f>
        <v>0.51</v>
      </c>
      <c r="AK8" s="37" t="e">
        <f>0.01*(16+24*(2*R8+T8)/P8)</f>
        <v>#DIV/0!</v>
      </c>
      <c r="AL8" s="37" t="e">
        <f>0.01*(10+15*(2*R8+T8)/P8)</f>
        <v>#DIV/0!</v>
      </c>
      <c r="AN8" s="37">
        <f>IF(共通条件・結果!$AA$7="８地域",H8,IF(AO8="FALSE",H8,IF(L8="風除室",1/((1/H8)+0.1),0.5*H8+0.5*(1/((1/H8)+AO8)))))</f>
        <v>3.49</v>
      </c>
      <c r="AO8" s="39" t="str">
        <f t="shared" ref="AO8:AO19" si="1">IF(L8="","FALSE",IF(L8="雨戸",0.1,IF(L8="ｼｬｯﾀｰ",0.1,IF(L8="障子",0.18,IF(L8="風除室",0.1)))))</f>
        <v>FALSE</v>
      </c>
    </row>
    <row r="9" spans="2:41" s="37" customFormat="1" ht="21.95" customHeight="1">
      <c r="B9" s="419"/>
      <c r="C9" s="420"/>
      <c r="D9" s="421">
        <v>0.6</v>
      </c>
      <c r="E9" s="422"/>
      <c r="F9" s="422">
        <v>0.9</v>
      </c>
      <c r="G9" s="423"/>
      <c r="H9" s="370">
        <v>3.49</v>
      </c>
      <c r="I9" s="370"/>
      <c r="J9" s="370">
        <v>0.46</v>
      </c>
      <c r="K9" s="370"/>
      <c r="L9" s="398"/>
      <c r="M9" s="398"/>
      <c r="N9" s="428"/>
      <c r="O9" s="429"/>
      <c r="P9" s="427"/>
      <c r="Q9" s="430"/>
      <c r="R9" s="424"/>
      <c r="S9" s="425"/>
      <c r="T9" s="426"/>
      <c r="U9" s="427"/>
      <c r="V9" s="358">
        <f t="shared" ref="V9:V19" si="2">IF(D9="","",AD9)</f>
        <v>7.8775092000000019E-2</v>
      </c>
      <c r="W9" s="358"/>
      <c r="X9" s="358">
        <f t="shared" si="0"/>
        <v>3.3064524000000005E-2</v>
      </c>
      <c r="Y9" s="358"/>
      <c r="Z9" s="358">
        <f t="shared" ref="Z9:Z19" si="3">IF(D9="","",D9*F9*AN9)</f>
        <v>1.8846000000000003</v>
      </c>
      <c r="AA9" s="359"/>
      <c r="AD9" s="37">
        <f t="shared" ref="AD9:AD19" si="4">D9*F9*J9*$V$4*AH9</f>
        <v>7.8775092000000019E-2</v>
      </c>
      <c r="AE9" s="37">
        <f t="shared" ref="AE9:AE19" si="5">D9*F9*J9*$X$4*AI9</f>
        <v>3.3064524000000005E-2</v>
      </c>
      <c r="AG9" s="40" t="b">
        <v>1</v>
      </c>
      <c r="AH9" s="37" t="str">
        <f t="shared" ref="AH9:AH19" si="6">IF(AG9=TRUE,"0.93",IF(ISERROR(AK9),"エラー",IF(AK9&gt;0.93,"0.93",AK9)))</f>
        <v>0.93</v>
      </c>
      <c r="AI9" s="37" t="str">
        <f t="shared" ref="AI9:AI19" si="7">IF(AG9=TRUE,"0.51",IF(ISERROR(AL9),"エラー",IF(AL9&gt;0.72,"0.72",AL9)))</f>
        <v>0.51</v>
      </c>
      <c r="AK9" s="37" t="e">
        <f t="shared" ref="AK9:AK19" si="8">0.01*(16+24*(2*R9+T9)/P9)</f>
        <v>#DIV/0!</v>
      </c>
      <c r="AL9" s="37" t="e">
        <f t="shared" ref="AL9:AL19" si="9">0.01*(10+15*(2*R9+T9)/P9)</f>
        <v>#DIV/0!</v>
      </c>
      <c r="AN9" s="37">
        <f>IF(共通条件・結果!$AA$7="８地域",H9,IF(AO9="FALSE",H9,IF(L9="風除室",1/((1/H9)+0.1),0.5*H9+0.5*(1/((1/H9)+AO9)))))</f>
        <v>3.49</v>
      </c>
      <c r="AO9" s="39" t="str">
        <f t="shared" si="1"/>
        <v>FALSE</v>
      </c>
    </row>
    <row r="10" spans="2:41" s="37" customFormat="1" ht="21.95" customHeight="1">
      <c r="B10" s="419"/>
      <c r="C10" s="420"/>
      <c r="D10" s="421">
        <v>0.6</v>
      </c>
      <c r="E10" s="422"/>
      <c r="F10" s="422">
        <v>0.9</v>
      </c>
      <c r="G10" s="423"/>
      <c r="H10" s="370">
        <v>3.49</v>
      </c>
      <c r="I10" s="370"/>
      <c r="J10" s="370">
        <v>0.46</v>
      </c>
      <c r="K10" s="370"/>
      <c r="L10" s="398"/>
      <c r="M10" s="398"/>
      <c r="N10" s="428"/>
      <c r="O10" s="429"/>
      <c r="P10" s="430"/>
      <c r="Q10" s="432"/>
      <c r="R10" s="431"/>
      <c r="S10" s="432"/>
      <c r="T10" s="431"/>
      <c r="U10" s="426"/>
      <c r="V10" s="358">
        <f>IF(D10="","",AD10)</f>
        <v>7.8775092000000019E-2</v>
      </c>
      <c r="W10" s="358"/>
      <c r="X10" s="358">
        <f t="shared" si="0"/>
        <v>3.3064524000000005E-2</v>
      </c>
      <c r="Y10" s="358"/>
      <c r="Z10" s="358">
        <f>IF(D10="","",D10*F10*AN10)</f>
        <v>1.8846000000000003</v>
      </c>
      <c r="AA10" s="359"/>
      <c r="AD10" s="37">
        <f t="shared" ref="AD10:AD15" si="10">D10*F10*J10*$V$4*AH10</f>
        <v>7.8775092000000019E-2</v>
      </c>
      <c r="AE10" s="37">
        <f t="shared" ref="AE10:AE15" si="11">D10*F10*J10*$X$4*AI10</f>
        <v>3.3064524000000005E-2</v>
      </c>
      <c r="AG10" s="40" t="b">
        <v>1</v>
      </c>
      <c r="AH10" s="37" t="str">
        <f t="shared" si="6"/>
        <v>0.93</v>
      </c>
      <c r="AI10" s="37" t="str">
        <f t="shared" si="7"/>
        <v>0.51</v>
      </c>
      <c r="AK10" s="37" t="e">
        <f t="shared" ref="AK10:AK15" si="12">0.01*(16+24*(2*R10+T10)/P10)</f>
        <v>#DIV/0!</v>
      </c>
      <c r="AL10" s="37" t="e">
        <f t="shared" ref="AL10:AL15" si="13">0.01*(10+15*(2*R10+T10)/P10)</f>
        <v>#DIV/0!</v>
      </c>
      <c r="AN10" s="37">
        <f>IF(共通条件・結果!$AA$7="８地域",H10,IF(AO10="FALSE",H10,IF(L10="風除室",1/((1/H10)+0.1),0.5*H10+0.5*(1/((1/H10)+AO10)))))</f>
        <v>3.49</v>
      </c>
      <c r="AO10" s="39" t="str">
        <f t="shared" ref="AO10:AO15" si="14">IF(L10="","FALSE",IF(L10="雨戸",0.1,IF(L10="ｼｬｯﾀｰ",0.1,IF(L10="障子",0.18,IF(L10="風除室",0.1)))))</f>
        <v>FALSE</v>
      </c>
    </row>
    <row r="11" spans="2:41" s="37" customFormat="1" ht="21.95" customHeight="1">
      <c r="B11" s="419"/>
      <c r="C11" s="420"/>
      <c r="D11" s="421">
        <v>0.6</v>
      </c>
      <c r="E11" s="422"/>
      <c r="F11" s="422">
        <v>0.9</v>
      </c>
      <c r="G11" s="423"/>
      <c r="H11" s="370">
        <v>3.49</v>
      </c>
      <c r="I11" s="370"/>
      <c r="J11" s="370">
        <v>0.46</v>
      </c>
      <c r="K11" s="370"/>
      <c r="L11" s="398"/>
      <c r="M11" s="398"/>
      <c r="N11" s="428"/>
      <c r="O11" s="429"/>
      <c r="P11" s="430"/>
      <c r="Q11" s="432"/>
      <c r="R11" s="431"/>
      <c r="S11" s="432"/>
      <c r="T11" s="431"/>
      <c r="U11" s="426"/>
      <c r="V11" s="358">
        <f>IF(D11="","",AD11)</f>
        <v>7.8775092000000019E-2</v>
      </c>
      <c r="W11" s="358"/>
      <c r="X11" s="358">
        <f t="shared" si="0"/>
        <v>3.3064524000000005E-2</v>
      </c>
      <c r="Y11" s="358"/>
      <c r="Z11" s="358">
        <f>IF(D11="","",D11*F11*AN11)</f>
        <v>1.8846000000000003</v>
      </c>
      <c r="AA11" s="359"/>
      <c r="AD11" s="37">
        <f t="shared" si="10"/>
        <v>7.8775092000000019E-2</v>
      </c>
      <c r="AE11" s="37">
        <f t="shared" si="11"/>
        <v>3.3064524000000005E-2</v>
      </c>
      <c r="AG11" s="40" t="b">
        <v>1</v>
      </c>
      <c r="AH11" s="37" t="str">
        <f t="shared" si="6"/>
        <v>0.93</v>
      </c>
      <c r="AI11" s="37" t="str">
        <f t="shared" si="7"/>
        <v>0.51</v>
      </c>
      <c r="AK11" s="37" t="e">
        <f t="shared" si="12"/>
        <v>#DIV/0!</v>
      </c>
      <c r="AL11" s="37" t="e">
        <f t="shared" si="13"/>
        <v>#DIV/0!</v>
      </c>
      <c r="AN11" s="37">
        <f>IF(共通条件・結果!$AA$7="８地域",H11,IF(AO11="FALSE",H11,IF(L11="風除室",1/((1/H11)+0.1),0.5*H11+0.5*(1/((1/H11)+AO11)))))</f>
        <v>3.49</v>
      </c>
      <c r="AO11" s="39" t="str">
        <f t="shared" si="14"/>
        <v>FALSE</v>
      </c>
    </row>
    <row r="12" spans="2:41" s="37" customFormat="1" ht="21.95" customHeight="1">
      <c r="B12" s="419"/>
      <c r="C12" s="445"/>
      <c r="D12" s="488">
        <v>0.9</v>
      </c>
      <c r="E12" s="492"/>
      <c r="F12" s="493">
        <v>1.1000000000000001</v>
      </c>
      <c r="G12" s="489"/>
      <c r="H12" s="488">
        <v>3.49</v>
      </c>
      <c r="I12" s="489"/>
      <c r="J12" s="488">
        <v>0.46</v>
      </c>
      <c r="K12" s="489"/>
      <c r="L12" s="495"/>
      <c r="M12" s="496"/>
      <c r="N12" s="428"/>
      <c r="O12" s="497"/>
      <c r="P12" s="430"/>
      <c r="Q12" s="432"/>
      <c r="R12" s="431"/>
      <c r="S12" s="432"/>
      <c r="T12" s="431"/>
      <c r="U12" s="426"/>
      <c r="V12" s="356">
        <f>IF(D12="","",AD12)</f>
        <v>0.14442100200000005</v>
      </c>
      <c r="W12" s="357"/>
      <c r="X12" s="356">
        <f t="shared" ref="X12" si="15">IF(D12="","",IF(ISERROR(AE12),"-",AE12))</f>
        <v>6.0618294000000017E-2</v>
      </c>
      <c r="Y12" s="357"/>
      <c r="Z12" s="356">
        <f>IF(D12="","",D12*F12*AN12)</f>
        <v>3.4551000000000007</v>
      </c>
      <c r="AA12" s="375"/>
      <c r="AD12" s="37">
        <f t="shared" si="10"/>
        <v>0.14442100200000005</v>
      </c>
      <c r="AE12" s="37">
        <f t="shared" si="11"/>
        <v>6.0618294000000017E-2</v>
      </c>
      <c r="AG12" s="40" t="b">
        <v>1</v>
      </c>
      <c r="AH12" s="37" t="str">
        <f t="shared" ref="AH12" si="16">IF(AG12=TRUE,"0.93",IF(ISERROR(AK12),"エラー",IF(AK12&gt;0.93,"0.93",AK12)))</f>
        <v>0.93</v>
      </c>
      <c r="AI12" s="37" t="str">
        <f t="shared" ref="AI12" si="17">IF(AG12=TRUE,"0.51",IF(ISERROR(AL12),"エラー",IF(AL12&gt;0.72,"0.72",AL12)))</f>
        <v>0.51</v>
      </c>
      <c r="AK12" s="37" t="e">
        <f t="shared" si="12"/>
        <v>#DIV/0!</v>
      </c>
      <c r="AL12" s="37" t="e">
        <f t="shared" si="13"/>
        <v>#DIV/0!</v>
      </c>
      <c r="AN12" s="37">
        <f>IF(共通条件・結果!$AA$7="８地域",H12,IF(AO12="FALSE",H12,IF(L12="風除室",1/((1/H12)+0.1),0.5*H12+0.5*(1/((1/H12)+AO12)))))</f>
        <v>3.49</v>
      </c>
      <c r="AO12" s="94" t="str">
        <f t="shared" si="14"/>
        <v>FALSE</v>
      </c>
    </row>
    <row r="13" spans="2:41" s="37" customFormat="1" ht="21.95" customHeight="1">
      <c r="B13" s="419"/>
      <c r="C13" s="445"/>
      <c r="D13" s="488"/>
      <c r="E13" s="492"/>
      <c r="F13" s="493"/>
      <c r="G13" s="489"/>
      <c r="H13" s="488"/>
      <c r="I13" s="489"/>
      <c r="J13" s="488"/>
      <c r="K13" s="489"/>
      <c r="L13" s="495"/>
      <c r="M13" s="496"/>
      <c r="N13" s="428"/>
      <c r="O13" s="497"/>
      <c r="P13" s="430"/>
      <c r="Q13" s="432"/>
      <c r="R13" s="431"/>
      <c r="S13" s="432"/>
      <c r="T13" s="431"/>
      <c r="U13" s="426"/>
      <c r="V13" s="356" t="str">
        <f>IF(D13="","",AD13)</f>
        <v/>
      </c>
      <c r="W13" s="357"/>
      <c r="X13" s="356" t="str">
        <f t="shared" ref="X13" si="18">IF(D13="","",IF(ISERROR(AE13),"-",AE13))</f>
        <v/>
      </c>
      <c r="Y13" s="357"/>
      <c r="Z13" s="356" t="str">
        <f>IF(D13="","",D13*F13*AN13)</f>
        <v/>
      </c>
      <c r="AA13" s="375"/>
      <c r="AD13" s="37" t="e">
        <f t="shared" si="10"/>
        <v>#VALUE!</v>
      </c>
      <c r="AE13" s="37" t="e">
        <f t="shared" si="11"/>
        <v>#VALUE!</v>
      </c>
      <c r="AG13" s="40" t="b">
        <v>0</v>
      </c>
      <c r="AH13" s="37" t="str">
        <f t="shared" ref="AH13" si="19">IF(AG13=TRUE,"0.93",IF(ISERROR(AK13),"エラー",IF(AK13&gt;0.93,"0.93",AK13)))</f>
        <v>エラー</v>
      </c>
      <c r="AI13" s="37" t="str">
        <f t="shared" ref="AI13" si="20">IF(AG13=TRUE,"0.51",IF(ISERROR(AL13),"エラー",IF(AL13&gt;0.72,"0.72",AL13)))</f>
        <v>エラー</v>
      </c>
      <c r="AK13" s="37" t="e">
        <f t="shared" si="12"/>
        <v>#DIV/0!</v>
      </c>
      <c r="AL13" s="37" t="e">
        <f t="shared" si="13"/>
        <v>#DIV/0!</v>
      </c>
      <c r="AN13" s="37">
        <f>IF(共通条件・結果!$AA$7="８地域",H13,IF(AO13="FALSE",H13,IF(L13="風除室",1/((1/H13)+0.1),0.5*H13+0.5*(1/((1/H13)+AO13)))))</f>
        <v>0</v>
      </c>
      <c r="AO13" s="94" t="str">
        <f t="shared" si="14"/>
        <v>FALSE</v>
      </c>
    </row>
    <row r="14" spans="2:41" s="37" customFormat="1" ht="21.95" customHeight="1">
      <c r="B14" s="419"/>
      <c r="C14" s="420"/>
      <c r="D14" s="421"/>
      <c r="E14" s="422"/>
      <c r="F14" s="422"/>
      <c r="G14" s="423"/>
      <c r="H14" s="370"/>
      <c r="I14" s="370"/>
      <c r="J14" s="370"/>
      <c r="K14" s="370"/>
      <c r="L14" s="398"/>
      <c r="M14" s="398"/>
      <c r="N14" s="428"/>
      <c r="O14" s="429"/>
      <c r="P14" s="430"/>
      <c r="Q14" s="432"/>
      <c r="R14" s="431"/>
      <c r="S14" s="432"/>
      <c r="T14" s="431"/>
      <c r="U14" s="426"/>
      <c r="V14" s="358" t="str">
        <f>IF(D14="","",AD14)</f>
        <v/>
      </c>
      <c r="W14" s="358"/>
      <c r="X14" s="358" t="str">
        <f t="shared" si="0"/>
        <v/>
      </c>
      <c r="Y14" s="358"/>
      <c r="Z14" s="358" t="str">
        <f>IF(D14="","",D14*F14*AN14)</f>
        <v/>
      </c>
      <c r="AA14" s="359"/>
      <c r="AD14" s="37" t="e">
        <f t="shared" si="10"/>
        <v>#VALUE!</v>
      </c>
      <c r="AE14" s="37" t="e">
        <f t="shared" si="11"/>
        <v>#VALUE!</v>
      </c>
      <c r="AG14" s="40" t="b">
        <v>0</v>
      </c>
      <c r="AH14" s="37" t="str">
        <f t="shared" si="6"/>
        <v>エラー</v>
      </c>
      <c r="AI14" s="37" t="str">
        <f t="shared" si="7"/>
        <v>エラー</v>
      </c>
      <c r="AK14" s="37" t="e">
        <f t="shared" si="12"/>
        <v>#DIV/0!</v>
      </c>
      <c r="AL14" s="37" t="e">
        <f t="shared" si="13"/>
        <v>#DIV/0!</v>
      </c>
      <c r="AN14" s="37">
        <f>IF(共通条件・結果!$AA$7="８地域",H14,IF(AO14="FALSE",H14,IF(L14="風除室",1/((1/H14)+0.1),0.5*H14+0.5*(1/((1/H14)+AO14)))))</f>
        <v>0</v>
      </c>
      <c r="AO14" s="39" t="str">
        <f t="shared" si="14"/>
        <v>FALSE</v>
      </c>
    </row>
    <row r="15" spans="2:41" s="37" customFormat="1" ht="21.95" customHeight="1">
      <c r="B15" s="419"/>
      <c r="C15" s="420"/>
      <c r="D15" s="421"/>
      <c r="E15" s="422"/>
      <c r="F15" s="422"/>
      <c r="G15" s="423"/>
      <c r="H15" s="370"/>
      <c r="I15" s="370"/>
      <c r="J15" s="370"/>
      <c r="K15" s="370"/>
      <c r="L15" s="398"/>
      <c r="M15" s="398"/>
      <c r="N15" s="428"/>
      <c r="O15" s="429"/>
      <c r="P15" s="430"/>
      <c r="Q15" s="432"/>
      <c r="R15" s="431"/>
      <c r="S15" s="432"/>
      <c r="T15" s="431"/>
      <c r="U15" s="426"/>
      <c r="V15" s="356" t="str">
        <f t="shared" si="2"/>
        <v/>
      </c>
      <c r="W15" s="357"/>
      <c r="X15" s="358" t="str">
        <f t="shared" si="0"/>
        <v/>
      </c>
      <c r="Y15" s="358"/>
      <c r="Z15" s="358" t="str">
        <f t="shared" si="3"/>
        <v/>
      </c>
      <c r="AA15" s="359"/>
      <c r="AD15" s="37" t="e">
        <f t="shared" si="10"/>
        <v>#VALUE!</v>
      </c>
      <c r="AE15" s="37" t="e">
        <f t="shared" si="11"/>
        <v>#VALUE!</v>
      </c>
      <c r="AG15" s="40" t="b">
        <v>0</v>
      </c>
      <c r="AH15" s="37" t="str">
        <f t="shared" si="6"/>
        <v>エラー</v>
      </c>
      <c r="AI15" s="37" t="str">
        <f t="shared" si="7"/>
        <v>エラー</v>
      </c>
      <c r="AK15" s="37" t="e">
        <f t="shared" si="12"/>
        <v>#DIV/0!</v>
      </c>
      <c r="AL15" s="37" t="e">
        <f t="shared" si="13"/>
        <v>#DIV/0!</v>
      </c>
      <c r="AN15" s="37">
        <f>IF(共通条件・結果!$AA$7="８地域",H15,IF(AO15="FALSE",H15,IF(L15="風除室",1/((1/H15)+0.1),0.5*H15+0.5*(1/((1/H15)+AO15)))))</f>
        <v>0</v>
      </c>
      <c r="AO15" s="39" t="str">
        <f t="shared" si="14"/>
        <v>FALSE</v>
      </c>
    </row>
    <row r="16" spans="2:41" s="37" customFormat="1" ht="21.95" customHeight="1">
      <c r="B16" s="419"/>
      <c r="C16" s="420"/>
      <c r="D16" s="421"/>
      <c r="E16" s="422"/>
      <c r="F16" s="422"/>
      <c r="G16" s="423"/>
      <c r="H16" s="370"/>
      <c r="I16" s="370"/>
      <c r="J16" s="370"/>
      <c r="K16" s="370"/>
      <c r="L16" s="398"/>
      <c r="M16" s="398"/>
      <c r="N16" s="428"/>
      <c r="O16" s="429"/>
      <c r="P16" s="430"/>
      <c r="Q16" s="432"/>
      <c r="R16" s="431"/>
      <c r="S16" s="432"/>
      <c r="T16" s="431"/>
      <c r="U16" s="426"/>
      <c r="V16" s="356" t="str">
        <f t="shared" si="2"/>
        <v/>
      </c>
      <c r="W16" s="357"/>
      <c r="X16" s="358" t="str">
        <f t="shared" si="0"/>
        <v/>
      </c>
      <c r="Y16" s="358"/>
      <c r="Z16" s="358" t="str">
        <f t="shared" si="3"/>
        <v/>
      </c>
      <c r="AA16" s="359"/>
      <c r="AD16" s="37" t="e">
        <f t="shared" si="4"/>
        <v>#VALUE!</v>
      </c>
      <c r="AE16" s="37" t="e">
        <f t="shared" si="5"/>
        <v>#VALUE!</v>
      </c>
      <c r="AG16" s="40" t="b">
        <v>0</v>
      </c>
      <c r="AH16" s="37" t="str">
        <f t="shared" si="6"/>
        <v>エラー</v>
      </c>
      <c r="AI16" s="37" t="str">
        <f t="shared" si="7"/>
        <v>エラー</v>
      </c>
      <c r="AK16" s="37" t="e">
        <f t="shared" si="8"/>
        <v>#DIV/0!</v>
      </c>
      <c r="AL16" s="37" t="e">
        <f t="shared" si="9"/>
        <v>#DIV/0!</v>
      </c>
      <c r="AN16" s="37">
        <f>IF(共通条件・結果!$AA$7="８地域",H16,IF(AO16="FALSE",H16,IF(L16="風除室",1/((1/H16)+0.1),0.5*H16+0.5*(1/((1/H16)+AO16)))))</f>
        <v>0</v>
      </c>
      <c r="AO16" s="39" t="str">
        <f t="shared" si="1"/>
        <v>FALSE</v>
      </c>
    </row>
    <row r="17" spans="2:41" s="37" customFormat="1" ht="21.95" customHeight="1">
      <c r="B17" s="419"/>
      <c r="C17" s="420"/>
      <c r="D17" s="421"/>
      <c r="E17" s="422"/>
      <c r="F17" s="422"/>
      <c r="G17" s="423"/>
      <c r="H17" s="370"/>
      <c r="I17" s="370"/>
      <c r="J17" s="370"/>
      <c r="K17" s="370"/>
      <c r="L17" s="398"/>
      <c r="M17" s="398"/>
      <c r="N17" s="428"/>
      <c r="O17" s="429"/>
      <c r="P17" s="427"/>
      <c r="Q17" s="430"/>
      <c r="R17" s="431"/>
      <c r="S17" s="432"/>
      <c r="T17" s="431"/>
      <c r="U17" s="426"/>
      <c r="V17" s="356" t="str">
        <f t="shared" si="2"/>
        <v/>
      </c>
      <c r="W17" s="357"/>
      <c r="X17" s="358" t="str">
        <f t="shared" si="0"/>
        <v/>
      </c>
      <c r="Y17" s="358"/>
      <c r="Z17" s="358" t="str">
        <f t="shared" si="3"/>
        <v/>
      </c>
      <c r="AA17" s="359"/>
      <c r="AD17" s="37" t="e">
        <f t="shared" si="4"/>
        <v>#VALUE!</v>
      </c>
      <c r="AE17" s="37" t="e">
        <f t="shared" si="5"/>
        <v>#VALUE!</v>
      </c>
      <c r="AG17" s="40" t="b">
        <v>0</v>
      </c>
      <c r="AH17" s="37" t="str">
        <f t="shared" si="6"/>
        <v>エラー</v>
      </c>
      <c r="AI17" s="37" t="str">
        <f t="shared" si="7"/>
        <v>エラー</v>
      </c>
      <c r="AK17" s="37" t="e">
        <f t="shared" si="8"/>
        <v>#DIV/0!</v>
      </c>
      <c r="AL17" s="37" t="e">
        <f t="shared" si="9"/>
        <v>#DIV/0!</v>
      </c>
      <c r="AN17" s="37">
        <f>IF(共通条件・結果!$AA$7="８地域",H17,IF(AO17="FALSE",H17,IF(L17="風除室",1/((1/H17)+0.1),0.5*H17+0.5*(1/((1/H17)+AO17)))))</f>
        <v>0</v>
      </c>
      <c r="AO17" s="39" t="str">
        <f t="shared" si="1"/>
        <v>FALSE</v>
      </c>
    </row>
    <row r="18" spans="2:41" s="37" customFormat="1" ht="21.95" customHeight="1">
      <c r="B18" s="419"/>
      <c r="C18" s="420"/>
      <c r="D18" s="421"/>
      <c r="E18" s="422"/>
      <c r="F18" s="422"/>
      <c r="G18" s="423"/>
      <c r="H18" s="370"/>
      <c r="I18" s="370"/>
      <c r="J18" s="370"/>
      <c r="K18" s="370"/>
      <c r="L18" s="398"/>
      <c r="M18" s="398"/>
      <c r="N18" s="428"/>
      <c r="O18" s="429"/>
      <c r="P18" s="427"/>
      <c r="Q18" s="430"/>
      <c r="R18" s="424"/>
      <c r="S18" s="425"/>
      <c r="T18" s="426"/>
      <c r="U18" s="427"/>
      <c r="V18" s="356" t="str">
        <f t="shared" si="2"/>
        <v/>
      </c>
      <c r="W18" s="357"/>
      <c r="X18" s="358" t="str">
        <f t="shared" si="0"/>
        <v/>
      </c>
      <c r="Y18" s="358"/>
      <c r="Z18" s="358" t="str">
        <f t="shared" si="3"/>
        <v/>
      </c>
      <c r="AA18" s="359"/>
      <c r="AD18" s="37" t="e">
        <f t="shared" si="4"/>
        <v>#VALUE!</v>
      </c>
      <c r="AE18" s="37" t="e">
        <f t="shared" si="5"/>
        <v>#VALUE!</v>
      </c>
      <c r="AG18" s="40" t="b">
        <v>0</v>
      </c>
      <c r="AH18" s="37" t="str">
        <f t="shared" si="6"/>
        <v>エラー</v>
      </c>
      <c r="AI18" s="37" t="str">
        <f t="shared" si="7"/>
        <v>エラー</v>
      </c>
      <c r="AK18" s="37" t="e">
        <f t="shared" si="8"/>
        <v>#DIV/0!</v>
      </c>
      <c r="AL18" s="37" t="e">
        <f t="shared" si="9"/>
        <v>#DIV/0!</v>
      </c>
      <c r="AN18" s="37">
        <f>IF(共通条件・結果!$AA$7="８地域",H18,IF(AO18="FALSE",H18,IF(L18="風除室",1/((1/H18)+0.1),0.5*H18+0.5*(1/((1/H18)+AO18)))))</f>
        <v>0</v>
      </c>
      <c r="AO18" s="39" t="str">
        <f t="shared" si="1"/>
        <v>FALSE</v>
      </c>
    </row>
    <row r="19" spans="2:41" s="37" customFormat="1" ht="21.95" customHeight="1" thickBot="1">
      <c r="B19" s="350"/>
      <c r="C19" s="417"/>
      <c r="D19" s="394"/>
      <c r="E19" s="395"/>
      <c r="F19" s="395"/>
      <c r="G19" s="396"/>
      <c r="H19" s="397"/>
      <c r="I19" s="397"/>
      <c r="J19" s="397"/>
      <c r="K19" s="397"/>
      <c r="L19" s="410"/>
      <c r="M19" s="410"/>
      <c r="N19" s="411"/>
      <c r="O19" s="412"/>
      <c r="P19" s="413"/>
      <c r="Q19" s="414"/>
      <c r="R19" s="415"/>
      <c r="S19" s="416"/>
      <c r="T19" s="418"/>
      <c r="U19" s="413"/>
      <c r="V19" s="356" t="str">
        <f t="shared" si="2"/>
        <v/>
      </c>
      <c r="W19" s="357"/>
      <c r="X19" s="358" t="str">
        <f t="shared" si="0"/>
        <v/>
      </c>
      <c r="Y19" s="358"/>
      <c r="Z19" s="367" t="str">
        <f t="shared" si="3"/>
        <v/>
      </c>
      <c r="AA19" s="374"/>
      <c r="AD19" s="37" t="e">
        <f t="shared" si="4"/>
        <v>#VALUE!</v>
      </c>
      <c r="AE19" s="37" t="e">
        <f t="shared" si="5"/>
        <v>#VALUE!</v>
      </c>
      <c r="AG19" s="40" t="b">
        <v>0</v>
      </c>
      <c r="AH19" s="37" t="str">
        <f t="shared" si="6"/>
        <v>エラー</v>
      </c>
      <c r="AI19" s="37" t="str">
        <f t="shared" si="7"/>
        <v>エラー</v>
      </c>
      <c r="AK19" s="37" t="e">
        <f t="shared" si="8"/>
        <v>#DIV/0!</v>
      </c>
      <c r="AL19" s="37" t="e">
        <f t="shared" si="9"/>
        <v>#DIV/0!</v>
      </c>
      <c r="AN19" s="37">
        <f>IF(共通条件・結果!$AA$7="８地域",H19,IF(AO19="FALSE",H19,IF(L19="風除室",1/((1/H19)+0.1),0.5*H19+0.5*(1/((1/H19)+AO19)))))</f>
        <v>0</v>
      </c>
      <c r="AO19" s="39" t="str">
        <f t="shared" si="1"/>
        <v>FALSE</v>
      </c>
    </row>
    <row r="20" spans="2:41" s="37" customFormat="1" ht="21.95" customHeight="1" thickBot="1">
      <c r="B20" s="408" t="s">
        <v>77</v>
      </c>
      <c r="C20" s="409"/>
      <c r="D20" s="409"/>
      <c r="E20" s="409"/>
      <c r="F20" s="409"/>
      <c r="G20" s="409"/>
      <c r="H20" s="409"/>
      <c r="I20" s="409"/>
      <c r="J20" s="409"/>
      <c r="K20" s="409"/>
      <c r="L20" s="409"/>
      <c r="M20" s="409"/>
      <c r="N20" s="409"/>
      <c r="O20" s="409"/>
      <c r="P20" s="409"/>
      <c r="Q20" s="409"/>
      <c r="R20" s="409"/>
      <c r="S20" s="409"/>
      <c r="T20" s="409"/>
      <c r="U20" s="409"/>
      <c r="V20" s="344">
        <f>SUM(V8:W19)</f>
        <v>0.45952137000000015</v>
      </c>
      <c r="W20" s="344"/>
      <c r="X20" s="344">
        <f>SUM(X8:Y19)</f>
        <v>0.19287639000000004</v>
      </c>
      <c r="Y20" s="344"/>
      <c r="Z20" s="344">
        <f>SUM(Z8:AA19)</f>
        <v>10.993500000000001</v>
      </c>
      <c r="AA20" s="345"/>
    </row>
    <row r="21" spans="2:41" s="37" customFormat="1" ht="9.9499999999999993" customHeight="1">
      <c r="AN21" s="401"/>
      <c r="AO21" s="401"/>
    </row>
    <row r="22" spans="2:41" s="37" customFormat="1" ht="21.95" customHeight="1" thickBot="1">
      <c r="J22" s="38" t="s">
        <v>15</v>
      </c>
      <c r="K22" s="38"/>
      <c r="L22" s="38"/>
    </row>
    <row r="23" spans="2:41" s="37" customFormat="1" ht="21.95" customHeight="1">
      <c r="J23" s="465" t="s">
        <v>16</v>
      </c>
      <c r="K23" s="486"/>
      <c r="L23" s="486"/>
      <c r="M23" s="466"/>
      <c r="N23" s="361" t="s">
        <v>91</v>
      </c>
      <c r="O23" s="361"/>
      <c r="P23" s="361"/>
      <c r="Q23" s="361"/>
      <c r="R23" s="361" t="s">
        <v>7</v>
      </c>
      <c r="S23" s="361"/>
      <c r="T23" s="402" t="s">
        <v>10</v>
      </c>
      <c r="U23" s="403"/>
      <c r="V23" s="360" t="s">
        <v>68</v>
      </c>
      <c r="W23" s="361"/>
      <c r="X23" s="360" t="s">
        <v>67</v>
      </c>
      <c r="Y23" s="361"/>
      <c r="Z23" s="361" t="s">
        <v>13</v>
      </c>
      <c r="AA23" s="363"/>
      <c r="AN23" s="401" t="s">
        <v>89</v>
      </c>
      <c r="AO23" s="401"/>
    </row>
    <row r="24" spans="2:41" s="37" customFormat="1" ht="21.95" customHeight="1" thickBot="1">
      <c r="J24" s="467"/>
      <c r="K24" s="475"/>
      <c r="L24" s="475"/>
      <c r="M24" s="438"/>
      <c r="N24" s="405" t="s">
        <v>9</v>
      </c>
      <c r="O24" s="406"/>
      <c r="P24" s="407" t="s">
        <v>8</v>
      </c>
      <c r="Q24" s="362"/>
      <c r="R24" s="362"/>
      <c r="S24" s="362"/>
      <c r="T24" s="404"/>
      <c r="U24" s="404"/>
      <c r="V24" s="362"/>
      <c r="W24" s="362"/>
      <c r="X24" s="362"/>
      <c r="Y24" s="362"/>
      <c r="Z24" s="362"/>
      <c r="AA24" s="364"/>
      <c r="AN24" s="37" t="s">
        <v>87</v>
      </c>
      <c r="AO24" s="37" t="s">
        <v>85</v>
      </c>
    </row>
    <row r="25" spans="2:41" s="37" customFormat="1" ht="21.95" customHeight="1">
      <c r="C25" s="41"/>
      <c r="D25" s="41"/>
      <c r="E25" s="41"/>
      <c r="F25" s="41"/>
      <c r="G25" s="41"/>
      <c r="H25" s="41"/>
      <c r="I25" s="41"/>
      <c r="J25" s="433"/>
      <c r="K25" s="487"/>
      <c r="L25" s="487"/>
      <c r="M25" s="446"/>
      <c r="N25" s="435">
        <v>0.9</v>
      </c>
      <c r="O25" s="436"/>
      <c r="P25" s="436">
        <v>1.8</v>
      </c>
      <c r="Q25" s="437"/>
      <c r="R25" s="392">
        <v>3.49</v>
      </c>
      <c r="S25" s="392"/>
      <c r="T25" s="485"/>
      <c r="U25" s="485"/>
      <c r="V25" s="368">
        <f>IF(N25="","",N25*P25*R25*0.034*$V$4)</f>
        <v>6.5550157200000014E-2</v>
      </c>
      <c r="W25" s="368"/>
      <c r="X25" s="368">
        <f>IF(N25="","",IF(ISERROR(N25*P25*R25*0.034*$X$4),"-",N25*P25*R25*0.034*$X$4))</f>
        <v>5.0171821200000008E-2</v>
      </c>
      <c r="Y25" s="368"/>
      <c r="Z25" s="368">
        <f>IF(N25="","",N25*P25*AN25)</f>
        <v>5.6538000000000004</v>
      </c>
      <c r="AA25" s="369"/>
      <c r="AN25" s="37">
        <f>IF(共通条件・結果!$AA$7="８地域",R25,IF(AO25="FALSE",R25,IF(T25="風除室",1/((1/R25)+0.1),0.5*R25+0.5*(1/((1/R25)+AO25)))))</f>
        <v>3.49</v>
      </c>
      <c r="AO25" s="39" t="str">
        <f>IF(T25="","FALSE",IF(T25="雨戸",0.1,IF(T25="ｼｬｯﾀｰ",0.1,IF(T25="障子",0.18,IF(T25="風除室",0.1)))))</f>
        <v>FALSE</v>
      </c>
    </row>
    <row r="26" spans="2:41" s="37" customFormat="1" ht="21.95" customHeight="1">
      <c r="C26" s="41"/>
      <c r="D26" s="41"/>
      <c r="E26" s="41"/>
      <c r="F26" s="41"/>
      <c r="G26" s="41"/>
      <c r="H26" s="41"/>
      <c r="I26" s="41"/>
      <c r="J26" s="419"/>
      <c r="K26" s="494"/>
      <c r="L26" s="494"/>
      <c r="M26" s="445"/>
      <c r="N26" s="488"/>
      <c r="O26" s="492"/>
      <c r="P26" s="493"/>
      <c r="Q26" s="489"/>
      <c r="R26" s="488"/>
      <c r="S26" s="489"/>
      <c r="T26" s="495"/>
      <c r="U26" s="496"/>
      <c r="V26" s="356" t="str">
        <f>IF(N26="","",N26*P26*R26*0.034*$V$4)</f>
        <v/>
      </c>
      <c r="W26" s="357"/>
      <c r="X26" s="356" t="str">
        <f>IF(N26="","",IF(ISERROR(N26*P26*R26*0.034*$X$4),"-",N26*P26*R26*0.034*$X$4))</f>
        <v/>
      </c>
      <c r="Y26" s="357"/>
      <c r="Z26" s="356" t="str">
        <f>IF(N26="","",N26*P26*AN26)</f>
        <v/>
      </c>
      <c r="AA26" s="375"/>
      <c r="AN26" s="37">
        <f>IF(共通条件・結果!$AA$7="８地域",R26,IF(AO26="FALSE",R26,IF(T26="風除室",1/((1/R26)+0.1),0.5*R26+0.5*(1/((1/R26)+AO26)))))</f>
        <v>0</v>
      </c>
      <c r="AO26" s="94" t="str">
        <f>IF(T26="","FALSE",IF(T26="雨戸",0.1,IF(T26="ｼｬｯﾀｰ",0.1,IF(T26="障子",0.18,IF(T26="風除室",0.1)))))</f>
        <v>FALSE</v>
      </c>
    </row>
    <row r="27" spans="2:41" s="37" customFormat="1" ht="21.95" customHeight="1" thickBot="1">
      <c r="C27" s="41"/>
      <c r="D27" s="41"/>
      <c r="E27" s="41"/>
      <c r="F27" s="41"/>
      <c r="G27" s="41"/>
      <c r="H27" s="41"/>
      <c r="I27" s="41"/>
      <c r="J27" s="350"/>
      <c r="K27" s="464"/>
      <c r="L27" s="464"/>
      <c r="M27" s="351"/>
      <c r="N27" s="394"/>
      <c r="O27" s="395"/>
      <c r="P27" s="395"/>
      <c r="Q27" s="396"/>
      <c r="R27" s="397"/>
      <c r="S27" s="397"/>
      <c r="T27" s="398"/>
      <c r="U27" s="398"/>
      <c r="V27" s="399" t="str">
        <f>IF(N27="","",N27*P27*R27*0.034*$V$4)</f>
        <v/>
      </c>
      <c r="W27" s="399"/>
      <c r="X27" s="399" t="str">
        <f>IF(N27="","",IF(ISERROR(N27*P27*R27*0.034*$X$4),"-",N27*P27*R27*0.034*$X$4))</f>
        <v/>
      </c>
      <c r="Y27" s="399"/>
      <c r="Z27" s="399" t="str">
        <f>IF(N27="","",N27*P27*AN27)</f>
        <v/>
      </c>
      <c r="AA27" s="400"/>
      <c r="AN27" s="37">
        <f>IF(共通条件・結果!$AA$7="８地域",R27,IF(AO27="FALSE",R27,IF(T27="風除室",1/((1/R27)+0.1),0.5*R27+0.5*(1/((1/R27)+AO27)))))</f>
        <v>0</v>
      </c>
      <c r="AO27" s="39" t="str">
        <f>IF(T27="","FALSE",IF(T27="雨戸",0.1,IF(T27="ｼｬｯﾀｰ",0.1,IF(T27="障子",0.18,IF(T27="風除室",0.1)))))</f>
        <v>FALSE</v>
      </c>
    </row>
    <row r="28" spans="2:41" s="37" customFormat="1" ht="21.95" customHeight="1" thickBot="1">
      <c r="C28" s="41"/>
      <c r="D28" s="41"/>
      <c r="E28" s="41"/>
      <c r="F28" s="41"/>
      <c r="G28" s="41"/>
      <c r="H28" s="41"/>
      <c r="I28" s="41"/>
      <c r="J28" s="408" t="s">
        <v>142</v>
      </c>
      <c r="K28" s="409"/>
      <c r="L28" s="409"/>
      <c r="M28" s="409"/>
      <c r="N28" s="409"/>
      <c r="O28" s="409"/>
      <c r="P28" s="409"/>
      <c r="Q28" s="409"/>
      <c r="R28" s="409"/>
      <c r="S28" s="409"/>
      <c r="T28" s="409"/>
      <c r="U28" s="468"/>
      <c r="V28" s="344">
        <f>SUM(V25:W27)</f>
        <v>6.5550157200000014E-2</v>
      </c>
      <c r="W28" s="344"/>
      <c r="X28" s="344">
        <f>SUM(X25:Y27)</f>
        <v>5.0171821200000008E-2</v>
      </c>
      <c r="Y28" s="344"/>
      <c r="Z28" s="344">
        <f>SUM(Z25:AA27)</f>
        <v>5.6538000000000004</v>
      </c>
      <c r="AA28" s="345"/>
      <c r="AO28" s="39"/>
    </row>
    <row r="29" spans="2:41" s="37" customFormat="1" ht="9.9499999999999993" customHeight="1">
      <c r="C29" s="41"/>
      <c r="D29" s="41"/>
      <c r="E29" s="41"/>
      <c r="F29" s="41"/>
      <c r="G29" s="41"/>
      <c r="H29" s="41"/>
      <c r="I29" s="41"/>
      <c r="J29" s="41"/>
      <c r="AO29" s="39"/>
    </row>
    <row r="30" spans="2:41" s="37" customFormat="1" ht="21.95" customHeight="1" thickBot="1">
      <c r="C30" s="41"/>
      <c r="D30" s="41"/>
      <c r="E30" s="41"/>
      <c r="F30" s="41"/>
      <c r="G30" s="41"/>
      <c r="H30" s="41"/>
      <c r="I30" s="41"/>
      <c r="J30" s="38" t="s">
        <v>17</v>
      </c>
      <c r="K30" s="38"/>
      <c r="L30" s="38"/>
      <c r="AO30" s="39"/>
    </row>
    <row r="31" spans="2:41" s="37" customFormat="1" ht="21.95" customHeight="1">
      <c r="C31" s="41"/>
      <c r="D31" s="41"/>
      <c r="E31" s="41"/>
      <c r="F31" s="41"/>
      <c r="G31" s="41"/>
      <c r="H31" s="41"/>
      <c r="I31" s="41"/>
      <c r="J31" s="465" t="s">
        <v>0</v>
      </c>
      <c r="K31" s="466"/>
      <c r="L31" s="376" t="s">
        <v>53</v>
      </c>
      <c r="M31" s="377"/>
      <c r="N31" s="376" t="s">
        <v>170</v>
      </c>
      <c r="O31" s="377"/>
      <c r="P31" s="380" t="s">
        <v>54</v>
      </c>
      <c r="Q31" s="381"/>
      <c r="R31" s="361" t="s">
        <v>7</v>
      </c>
      <c r="S31" s="361"/>
      <c r="T31" s="384" t="s">
        <v>150</v>
      </c>
      <c r="U31" s="385"/>
      <c r="V31" s="360" t="s">
        <v>68</v>
      </c>
      <c r="W31" s="361"/>
      <c r="X31" s="360" t="s">
        <v>67</v>
      </c>
      <c r="Y31" s="361"/>
      <c r="Z31" s="361" t="s">
        <v>13</v>
      </c>
      <c r="AA31" s="363"/>
      <c r="AO31" s="39"/>
    </row>
    <row r="32" spans="2:41" s="37" customFormat="1" ht="21.95" customHeight="1" thickBot="1">
      <c r="C32" s="41"/>
      <c r="D32" s="41"/>
      <c r="E32" s="41"/>
      <c r="F32" s="41"/>
      <c r="G32" s="41"/>
      <c r="H32" s="41"/>
      <c r="I32" s="41"/>
      <c r="J32" s="467"/>
      <c r="K32" s="438"/>
      <c r="L32" s="378"/>
      <c r="M32" s="379"/>
      <c r="N32" s="378"/>
      <c r="O32" s="379"/>
      <c r="P32" s="382"/>
      <c r="Q32" s="383"/>
      <c r="R32" s="362"/>
      <c r="S32" s="362"/>
      <c r="T32" s="386"/>
      <c r="U32" s="387"/>
      <c r="V32" s="362"/>
      <c r="W32" s="362"/>
      <c r="X32" s="362"/>
      <c r="Y32" s="362"/>
      <c r="Z32" s="362"/>
      <c r="AA32" s="364"/>
      <c r="AE32" s="37" t="s">
        <v>140</v>
      </c>
      <c r="AF32" s="37" t="s">
        <v>141</v>
      </c>
    </row>
    <row r="33" spans="2:32" s="37" customFormat="1" ht="21.95" customHeight="1">
      <c r="C33" s="41"/>
      <c r="D33" s="41"/>
      <c r="E33" s="41"/>
      <c r="F33" s="41"/>
      <c r="G33" s="41"/>
      <c r="H33" s="41"/>
      <c r="I33" s="41"/>
      <c r="J33" s="433" t="s">
        <v>1</v>
      </c>
      <c r="K33" s="446"/>
      <c r="L33" s="388">
        <v>52.83</v>
      </c>
      <c r="M33" s="389"/>
      <c r="N33" s="388">
        <f>Q41+U41</f>
        <v>4.7700000000000005</v>
      </c>
      <c r="O33" s="389"/>
      <c r="P33" s="390">
        <f>IF(L33="","",L33-N33)</f>
        <v>48.059999999999995</v>
      </c>
      <c r="Q33" s="391"/>
      <c r="R33" s="392">
        <f>ROUND((IF(L33="","",部位U計算!$F$52)),3)</f>
        <v>0.49</v>
      </c>
      <c r="S33" s="392"/>
      <c r="T33" s="393"/>
      <c r="U33" s="393"/>
      <c r="V33" s="368">
        <f>IF(P33="","",IF(AD33=TRUE,0,P33*R33*0.034*$V$4))</f>
        <v>0.27303174360000004</v>
      </c>
      <c r="W33" s="368"/>
      <c r="X33" s="500">
        <f>IF(P33="","",IF(ISERROR(P33*R33*0.034*$X$4),"-",IF(AD33=TRUE,0,P33*R33*0.034*$X$4)))</f>
        <v>0.20897737560000001</v>
      </c>
      <c r="Y33" s="501"/>
      <c r="Z33" s="368">
        <f>IF(R33="","",IF(AD33=TRUE,0.7*R33*P33,R33*P33))</f>
        <v>23.549399999999999</v>
      </c>
      <c r="AA33" s="369"/>
      <c r="AD33" s="40" t="b">
        <v>0</v>
      </c>
      <c r="AE33" s="96">
        <f>IF(AD33=TRUE,0.7,1)</f>
        <v>1</v>
      </c>
      <c r="AF33" s="40" t="str">
        <f>IF(AD33=TRUE,0,"セル")</f>
        <v>セル</v>
      </c>
    </row>
    <row r="34" spans="2:32" s="37" customFormat="1" ht="21.95" customHeight="1">
      <c r="C34" s="41"/>
      <c r="D34" s="41"/>
      <c r="E34" s="41"/>
      <c r="F34" s="41"/>
      <c r="G34" s="41"/>
      <c r="H34" s="41"/>
      <c r="I34" s="41"/>
      <c r="J34" s="419" t="s">
        <v>387</v>
      </c>
      <c r="K34" s="445"/>
      <c r="L34" s="488">
        <v>0</v>
      </c>
      <c r="M34" s="489"/>
      <c r="N34" s="488"/>
      <c r="O34" s="489"/>
      <c r="P34" s="490">
        <f>IF(L34="","",L34-N34)</f>
        <v>0</v>
      </c>
      <c r="Q34" s="491"/>
      <c r="R34" s="488">
        <f>ROUND(IF(L34="","",部位U計算!$F$100),2)</f>
        <v>0.49</v>
      </c>
      <c r="S34" s="489"/>
      <c r="T34" s="498"/>
      <c r="U34" s="499"/>
      <c r="V34" s="356">
        <f>IF(P34="","",IF(AD34=TRUE,0,P34*R34*0.034*$V$4))</f>
        <v>0</v>
      </c>
      <c r="W34" s="357"/>
      <c r="X34" s="356">
        <f>IF(P34="","",IF(ISERROR(P34*R34*0.034*$X$4),"-",IF(AD34=TRUE,0,P34*R34*0.034*$X$4)))</f>
        <v>0</v>
      </c>
      <c r="Y34" s="357"/>
      <c r="Z34" s="356">
        <f>IF(R34="","",IF(AD34=TRUE,0.7*R34*P34,R34*P34))</f>
        <v>0</v>
      </c>
      <c r="AA34" s="375"/>
      <c r="AD34" s="40" t="b">
        <v>0</v>
      </c>
      <c r="AE34" s="96">
        <f>IF(AD34=TRUE,0.7,1)</f>
        <v>1</v>
      </c>
      <c r="AF34" s="40" t="str">
        <f>IF(AD34=TRUE,0,"セル")</f>
        <v>セル</v>
      </c>
    </row>
    <row r="35" spans="2:32" s="37" customFormat="1" ht="21.95" customHeight="1">
      <c r="C35" s="41"/>
      <c r="D35" s="41"/>
      <c r="E35" s="41"/>
      <c r="F35" s="41"/>
      <c r="G35" s="41"/>
      <c r="H35" s="41"/>
      <c r="I35" s="41"/>
      <c r="J35" s="419" t="s">
        <v>387</v>
      </c>
      <c r="K35" s="445"/>
      <c r="L35" s="488">
        <v>0</v>
      </c>
      <c r="M35" s="489"/>
      <c r="N35" s="488"/>
      <c r="O35" s="489"/>
      <c r="P35" s="490">
        <f>IF(L35="","",L35-N35)</f>
        <v>0</v>
      </c>
      <c r="Q35" s="491"/>
      <c r="R35" s="488">
        <f>ROUND(IF(L35="","",部位U計算!$F$114),2)</f>
        <v>1.18</v>
      </c>
      <c r="S35" s="489"/>
      <c r="T35" s="498"/>
      <c r="U35" s="499"/>
      <c r="V35" s="356">
        <f>IF(P35="","",IF(AD35=TRUE,0,P35*R35*0.034*$V$4))</f>
        <v>0</v>
      </c>
      <c r="W35" s="357"/>
      <c r="X35" s="356">
        <f>IF(P35="","",IF(ISERROR(P35*R35*0.034*$X$4),"-",IF(AD35=TRUE,0,P35*R35*0.034*$X$4)))</f>
        <v>0</v>
      </c>
      <c r="Y35" s="357"/>
      <c r="Z35" s="508">
        <f>IF(R35="","",IF(AD35=TRUE,0.7*R35*P35,R35*P35))</f>
        <v>0</v>
      </c>
      <c r="AA35" s="509"/>
      <c r="AD35" s="40" t="b">
        <v>1</v>
      </c>
      <c r="AE35" s="96">
        <f>IF(AD35=TRUE,0.7,1)</f>
        <v>0.7</v>
      </c>
      <c r="AF35" s="40">
        <f>IF(AD35=TRUE,0,"セル")</f>
        <v>0</v>
      </c>
    </row>
    <row r="36" spans="2:32" s="37" customFormat="1" ht="21.95" customHeight="1">
      <c r="C36" s="41"/>
      <c r="D36" s="41"/>
      <c r="E36" s="41"/>
      <c r="F36" s="41"/>
      <c r="G36" s="41"/>
      <c r="H36" s="41"/>
      <c r="I36" s="41"/>
      <c r="J36" s="419" t="s">
        <v>388</v>
      </c>
      <c r="K36" s="445"/>
      <c r="L36" s="488">
        <v>0</v>
      </c>
      <c r="M36" s="489"/>
      <c r="N36" s="488"/>
      <c r="O36" s="489"/>
      <c r="P36" s="490">
        <f>IF(L36="","",L36-N36)</f>
        <v>0</v>
      </c>
      <c r="Q36" s="491"/>
      <c r="R36" s="370">
        <f>ROUND(IF(L36="","",部位U計算!$F$128),2)</f>
        <v>0.49</v>
      </c>
      <c r="S36" s="370"/>
      <c r="T36" s="371"/>
      <c r="U36" s="371"/>
      <c r="V36" s="358">
        <f>IF(P36="","",IF(AD36=TRUE,0,P36*R36*0.034*$V$4))</f>
        <v>0</v>
      </c>
      <c r="W36" s="358"/>
      <c r="X36" s="356">
        <f>IF(P36="","",IF(ISERROR(P36*R36*0.034*$X$4),"-",IF(AD36=TRUE,0,P36*R36*0.034*$X$4)))</f>
        <v>0</v>
      </c>
      <c r="Y36" s="357"/>
      <c r="Z36" s="358">
        <f>IF(R36="","",IF(AD36=TRUE,0.7*R36*P36,R36*P36))</f>
        <v>0</v>
      </c>
      <c r="AA36" s="359"/>
      <c r="AD36" s="40" t="b">
        <v>0</v>
      </c>
      <c r="AE36" s="96">
        <f>IF(AD36=TRUE,0.7,1)</f>
        <v>1</v>
      </c>
      <c r="AF36" s="40" t="str">
        <f>IF(AD36=TRUE,0,"セル")</f>
        <v>セル</v>
      </c>
    </row>
    <row r="37" spans="2:32" s="37" customFormat="1" ht="21.95" customHeight="1" thickBot="1">
      <c r="J37" s="350" t="s">
        <v>388</v>
      </c>
      <c r="K37" s="351"/>
      <c r="L37" s="346">
        <v>0</v>
      </c>
      <c r="M37" s="347"/>
      <c r="N37" s="346"/>
      <c r="O37" s="347"/>
      <c r="P37" s="348">
        <f>IF(L37="","",L37-N37)</f>
        <v>0</v>
      </c>
      <c r="Q37" s="349"/>
      <c r="R37" s="365">
        <f>ROUND(IF(L37="","",部位U計算!$F$142),2)</f>
        <v>1.18</v>
      </c>
      <c r="S37" s="365"/>
      <c r="T37" s="366"/>
      <c r="U37" s="366"/>
      <c r="V37" s="367">
        <f>IF(P37="","",IF(AD37=TRUE,0,P37*R37*0.034*$V$4))</f>
        <v>0</v>
      </c>
      <c r="W37" s="367"/>
      <c r="X37" s="372">
        <f>IF(P37="","",IF(ISERROR(P37*R37*0.034*$X$4),"-",IF(AD37=TRUE,0,P37*R37*0.034*$X$4)))</f>
        <v>0</v>
      </c>
      <c r="Y37" s="373"/>
      <c r="Z37" s="367">
        <f>IF(R37="","",IF(AD37=TRUE,0.7*R37*P37,R37*P37))</f>
        <v>0</v>
      </c>
      <c r="AA37" s="374"/>
      <c r="AD37" s="40" t="b">
        <v>1</v>
      </c>
      <c r="AE37" s="96">
        <f>IF(AD37=TRUE,0.7,1)</f>
        <v>0.7</v>
      </c>
      <c r="AF37" s="40">
        <f>IF(AD37=TRUE,0,"セル")</f>
        <v>0</v>
      </c>
    </row>
    <row r="38" spans="2:32" s="37" customFormat="1" ht="21.95" customHeight="1" thickBot="1">
      <c r="J38" s="408" t="s">
        <v>78</v>
      </c>
      <c r="K38" s="409"/>
      <c r="L38" s="409"/>
      <c r="M38" s="409"/>
      <c r="N38" s="409"/>
      <c r="O38" s="409"/>
      <c r="P38" s="409"/>
      <c r="Q38" s="409"/>
      <c r="R38" s="409"/>
      <c r="S38" s="409"/>
      <c r="T38" s="409"/>
      <c r="U38" s="468"/>
      <c r="V38" s="344">
        <f>SUM(V33:W37)</f>
        <v>0.27303174360000004</v>
      </c>
      <c r="W38" s="344"/>
      <c r="X38" s="344">
        <f>SUM(X33:Y37)</f>
        <v>0.20897737560000001</v>
      </c>
      <c r="Y38" s="344"/>
      <c r="Z38" s="344">
        <f>SUM(Z33:AA37)</f>
        <v>23.549399999999999</v>
      </c>
      <c r="AA38" s="345"/>
    </row>
    <row r="39" spans="2:32" s="37" customFormat="1" ht="9.9499999999999993" customHeight="1"/>
    <row r="40" spans="2:32" s="37" customFormat="1" ht="21.95" customHeight="1" thickBot="1">
      <c r="B40" s="38" t="s">
        <v>116</v>
      </c>
    </row>
    <row r="41" spans="2:32" s="37" customFormat="1" ht="21.95" customHeight="1">
      <c r="B41" s="327" t="s">
        <v>79</v>
      </c>
      <c r="C41" s="328"/>
      <c r="D41" s="333" t="s">
        <v>56</v>
      </c>
      <c r="E41" s="334"/>
      <c r="F41" s="334"/>
      <c r="G41" s="334"/>
      <c r="H41" s="334"/>
      <c r="I41" s="334"/>
      <c r="J41" s="335"/>
      <c r="K41" s="42"/>
      <c r="L41" s="336">
        <f>Q41+U41+Y41</f>
        <v>52.83</v>
      </c>
      <c r="M41" s="336"/>
      <c r="N41" s="336"/>
      <c r="O41" s="42" t="s">
        <v>24</v>
      </c>
      <c r="P41" s="43" t="s">
        <v>23</v>
      </c>
      <c r="Q41" s="337">
        <f>D8*F8+D9*F9+D10*F10+D11*F11+D12*F12+D13*F13+D14*F14+D15*F15+D16*F16+D17*F17+D18*F18+D19*F19</f>
        <v>3.1500000000000004</v>
      </c>
      <c r="R41" s="337"/>
      <c r="S41" s="44" t="s">
        <v>25</v>
      </c>
      <c r="T41" s="44" t="s">
        <v>22</v>
      </c>
      <c r="U41" s="338">
        <f>N25*P25+N26*P26+N27*P27</f>
        <v>1.62</v>
      </c>
      <c r="V41" s="338"/>
      <c r="W41" s="44" t="s">
        <v>25</v>
      </c>
      <c r="X41" s="44" t="s">
        <v>1</v>
      </c>
      <c r="Y41" s="339">
        <f>SUM(P33:Q37)</f>
        <v>48.059999999999995</v>
      </c>
      <c r="Z41" s="339"/>
      <c r="AA41" s="45" t="s">
        <v>19</v>
      </c>
    </row>
    <row r="42" spans="2:32" s="37" customFormat="1" ht="21.95" customHeight="1">
      <c r="B42" s="329"/>
      <c r="C42" s="330"/>
      <c r="D42" s="340" t="s">
        <v>72</v>
      </c>
      <c r="E42" s="341"/>
      <c r="F42" s="341"/>
      <c r="G42" s="341"/>
      <c r="H42" s="341"/>
      <c r="I42" s="341"/>
      <c r="J42" s="342"/>
      <c r="K42" s="46"/>
      <c r="L42" s="46"/>
      <c r="M42" s="46"/>
      <c r="N42" s="46"/>
      <c r="O42" s="46"/>
      <c r="P42" s="46"/>
      <c r="Q42" s="46"/>
      <c r="R42" s="46"/>
      <c r="S42" s="46"/>
      <c r="T42" s="46"/>
      <c r="U42" s="46"/>
      <c r="V42" s="46"/>
      <c r="W42" s="343">
        <f>V20+V28+V38</f>
        <v>0.79810327080000021</v>
      </c>
      <c r="X42" s="343"/>
      <c r="Y42" s="343"/>
      <c r="Z42" s="46"/>
      <c r="AA42" s="47"/>
    </row>
    <row r="43" spans="2:32" s="37" customFormat="1" ht="21.95" customHeight="1">
      <c r="B43" s="329"/>
      <c r="C43" s="330"/>
      <c r="D43" s="340" t="s">
        <v>73</v>
      </c>
      <c r="E43" s="341"/>
      <c r="F43" s="341"/>
      <c r="G43" s="341"/>
      <c r="H43" s="341"/>
      <c r="I43" s="341"/>
      <c r="J43" s="342"/>
      <c r="K43" s="46"/>
      <c r="L43" s="46"/>
      <c r="M43" s="46"/>
      <c r="N43" s="46"/>
      <c r="O43" s="46"/>
      <c r="P43" s="46"/>
      <c r="Q43" s="46"/>
      <c r="R43" s="46"/>
      <c r="S43" s="46"/>
      <c r="T43" s="46"/>
      <c r="U43" s="46"/>
      <c r="V43" s="46"/>
      <c r="W43" s="343">
        <f>X20+X28+X38</f>
        <v>0.45202558680000005</v>
      </c>
      <c r="X43" s="343"/>
      <c r="Y43" s="343"/>
      <c r="Z43" s="46"/>
      <c r="AA43" s="47"/>
    </row>
    <row r="44" spans="2:32" s="37" customFormat="1" ht="21.95" customHeight="1" thickBot="1">
      <c r="B44" s="331"/>
      <c r="C44" s="332"/>
      <c r="D44" s="352" t="s">
        <v>20</v>
      </c>
      <c r="E44" s="353"/>
      <c r="F44" s="353"/>
      <c r="G44" s="353"/>
      <c r="H44" s="353"/>
      <c r="I44" s="353"/>
      <c r="J44" s="354"/>
      <c r="K44" s="48"/>
      <c r="L44" s="48"/>
      <c r="M44" s="48"/>
      <c r="N44" s="48"/>
      <c r="O44" s="48"/>
      <c r="P44" s="48"/>
      <c r="Q44" s="48"/>
      <c r="R44" s="48"/>
      <c r="S44" s="48"/>
      <c r="T44" s="48"/>
      <c r="U44" s="48"/>
      <c r="V44" s="48"/>
      <c r="W44" s="355">
        <f>Z20+Z28+Z38</f>
        <v>40.1967</v>
      </c>
      <c r="X44" s="355"/>
      <c r="Y44" s="355"/>
      <c r="Z44" s="49" t="s">
        <v>21</v>
      </c>
      <c r="AA44" s="50"/>
    </row>
    <row r="45" spans="2:32" s="37" customFormat="1" ht="21.95" customHeight="1"/>
    <row r="46" spans="2:32" s="37" customFormat="1" ht="21.95" customHeight="1"/>
    <row r="47" spans="2:32" s="37" customFormat="1" ht="21.95" customHeight="1"/>
    <row r="48" spans="2:32" s="37" customFormat="1" ht="21.95" customHeight="1"/>
    <row r="49" s="37" customFormat="1" ht="21.95" customHeight="1"/>
    <row r="50" s="37" customFormat="1" ht="21.95" customHeight="1"/>
    <row r="51" s="37" customFormat="1" ht="21.95" customHeight="1"/>
    <row r="52" s="37" customFormat="1" ht="21.95" customHeight="1"/>
    <row r="53" s="37" customFormat="1" ht="21.95" customHeight="1"/>
    <row r="54" s="37" customFormat="1" ht="21.95" customHeight="1"/>
    <row r="55" s="37" customFormat="1" ht="21.95" customHeight="1"/>
    <row r="56" s="37" customFormat="1" ht="21.95" customHeight="1"/>
    <row r="57" s="37" customFormat="1" ht="21.95" customHeight="1"/>
    <row r="58" s="37" customFormat="1" ht="21.95" customHeight="1"/>
    <row r="59" s="37" customFormat="1" ht="21.95" customHeight="1"/>
    <row r="60" s="37" customFormat="1" ht="21.95" customHeight="1"/>
    <row r="61" s="37" customFormat="1" ht="24.95" customHeight="1"/>
    <row r="62" s="37" customFormat="1" ht="24.95" customHeight="1"/>
    <row r="63" s="37" customFormat="1" ht="24.95" customHeight="1"/>
    <row r="64" s="37" customFormat="1" ht="24.95" customHeight="1"/>
    <row r="65" s="37" customFormat="1" ht="24.95" customHeight="1"/>
    <row r="66" s="37" customFormat="1" ht="24.95" customHeight="1"/>
    <row r="67" s="37" customFormat="1" ht="24.95" customHeight="1"/>
    <row r="68" s="37" customFormat="1" ht="24.95" customHeight="1"/>
    <row r="69" s="37" customFormat="1" ht="24.95" customHeight="1"/>
    <row r="70" s="37" customFormat="1" ht="24.95" customHeight="1"/>
    <row r="71" s="37" customFormat="1" ht="24.95" customHeight="1"/>
    <row r="72" s="37" customFormat="1" ht="24.95" customHeight="1"/>
    <row r="73" s="37" customFormat="1" ht="24.95" customHeight="1"/>
    <row r="74" s="37" customFormat="1" ht="24.95" customHeight="1"/>
    <row r="75" s="37" customFormat="1" ht="24.95" customHeight="1"/>
    <row r="76" s="37" customFormat="1" ht="24.95" customHeight="1"/>
    <row r="77" s="37" customFormat="1" ht="24.95" customHeight="1"/>
    <row r="78" s="37" customFormat="1" ht="24.95" customHeight="1"/>
    <row r="79" s="37" customFormat="1" ht="24.95" customHeight="1"/>
    <row r="80" s="37" customFormat="1" ht="24.95" customHeight="1"/>
    <row r="81" s="37" customFormat="1" ht="24.95" customHeight="1"/>
    <row r="82" s="37" customFormat="1" ht="24.95" customHeight="1"/>
    <row r="83" s="37" customFormat="1" ht="24.95" customHeight="1"/>
    <row r="84" s="37" customFormat="1" ht="24.95" customHeight="1"/>
    <row r="85" s="37" customFormat="1" ht="24.95" customHeight="1"/>
    <row r="86" s="37" customFormat="1" ht="24.95" customHeight="1"/>
    <row r="87" s="37" customFormat="1" ht="24.95" customHeight="1"/>
    <row r="88" s="37" customFormat="1" ht="24.95" customHeight="1"/>
    <row r="89" s="37" customFormat="1" ht="24.95" customHeight="1"/>
    <row r="90" s="37" customFormat="1" ht="24.95" customHeight="1"/>
    <row r="91" s="37" customFormat="1" ht="24.95" customHeight="1"/>
    <row r="92" s="37" customFormat="1" ht="24.95" customHeight="1"/>
    <row r="93" s="37" customFormat="1" ht="24.95" customHeight="1"/>
    <row r="94" s="51" customFormat="1" ht="24.95" customHeight="1"/>
    <row r="95" s="51" customFormat="1"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sheetData>
  <sheetProtection algorithmName="SHA-512" hashValue="tMonNcyT+qO/cB2pNcL43uJmyk/wJDSnEfyDJbd4DQsdtflsbiaOBtsicpo/Pr5lI0miXHmZs2FZsaoJHB0VYg==" saltValue="s/H5fV6TBMh5AhJFKkilyA==" spinCount="100000" sheet="1" objects="1" scenarios="1" selectLockedCells="1"/>
  <mergeCells count="293">
    <mergeCell ref="J37:K37"/>
    <mergeCell ref="Z35:AA35"/>
    <mergeCell ref="T35:U35"/>
    <mergeCell ref="L35:M35"/>
    <mergeCell ref="J35:K35"/>
    <mergeCell ref="N35:O35"/>
    <mergeCell ref="R35:S35"/>
    <mergeCell ref="J34:K34"/>
    <mergeCell ref="L34:M34"/>
    <mergeCell ref="N34:O34"/>
    <mergeCell ref="R34:S34"/>
    <mergeCell ref="T34:U34"/>
    <mergeCell ref="P34:Q34"/>
    <mergeCell ref="J36:K36"/>
    <mergeCell ref="N26:O26"/>
    <mergeCell ref="Z34:AA34"/>
    <mergeCell ref="L37:M37"/>
    <mergeCell ref="R31:S32"/>
    <mergeCell ref="T31:U32"/>
    <mergeCell ref="N27:O27"/>
    <mergeCell ref="L31:M32"/>
    <mergeCell ref="N31:O32"/>
    <mergeCell ref="T37:U37"/>
    <mergeCell ref="V37:W37"/>
    <mergeCell ref="X37:Y37"/>
    <mergeCell ref="N36:O36"/>
    <mergeCell ref="N37:O37"/>
    <mergeCell ref="P37:Q37"/>
    <mergeCell ref="R37:S37"/>
    <mergeCell ref="V27:W27"/>
    <mergeCell ref="X27:Y27"/>
    <mergeCell ref="V34:W34"/>
    <mergeCell ref="X34:Y34"/>
    <mergeCell ref="R36:S36"/>
    <mergeCell ref="V35:W35"/>
    <mergeCell ref="X35:Y35"/>
    <mergeCell ref="R23:S24"/>
    <mergeCell ref="T23:U24"/>
    <mergeCell ref="P35:Q35"/>
    <mergeCell ref="Z27:AA27"/>
    <mergeCell ref="V28:W28"/>
    <mergeCell ref="X28:Y28"/>
    <mergeCell ref="Z28:AA28"/>
    <mergeCell ref="P25:Q25"/>
    <mergeCell ref="R25:S25"/>
    <mergeCell ref="T25:U25"/>
    <mergeCell ref="V25:W25"/>
    <mergeCell ref="X25:Y25"/>
    <mergeCell ref="Z25:AA25"/>
    <mergeCell ref="P26:Q26"/>
    <mergeCell ref="R26:S26"/>
    <mergeCell ref="T26:U26"/>
    <mergeCell ref="V26:W26"/>
    <mergeCell ref="X26:Y26"/>
    <mergeCell ref="Z26:AA26"/>
    <mergeCell ref="J28:U28"/>
    <mergeCell ref="X31:Y32"/>
    <mergeCell ref="P27:Q27"/>
    <mergeCell ref="R27:S27"/>
    <mergeCell ref="T27:U27"/>
    <mergeCell ref="AN6:AO6"/>
    <mergeCell ref="D42:J42"/>
    <mergeCell ref="W42:Y42"/>
    <mergeCell ref="X36:Y36"/>
    <mergeCell ref="Z36:AA36"/>
    <mergeCell ref="Z37:AA37"/>
    <mergeCell ref="V38:W38"/>
    <mergeCell ref="P36:Q36"/>
    <mergeCell ref="V31:W32"/>
    <mergeCell ref="T36:U36"/>
    <mergeCell ref="V36:W36"/>
    <mergeCell ref="L36:M36"/>
    <mergeCell ref="Z31:AA32"/>
    <mergeCell ref="L33:M33"/>
    <mergeCell ref="N33:O33"/>
    <mergeCell ref="P33:Q33"/>
    <mergeCell ref="R33:S33"/>
    <mergeCell ref="T33:U33"/>
    <mergeCell ref="V33:W33"/>
    <mergeCell ref="X33:Y33"/>
    <mergeCell ref="Z33:AA33"/>
    <mergeCell ref="P31:Q32"/>
    <mergeCell ref="AN21:AO21"/>
    <mergeCell ref="AN23:AO23"/>
    <mergeCell ref="B41:C44"/>
    <mergeCell ref="X38:Y38"/>
    <mergeCell ref="Z38:AA38"/>
    <mergeCell ref="D43:J43"/>
    <mergeCell ref="W43:Y43"/>
    <mergeCell ref="L41:N41"/>
    <mergeCell ref="Q41:R41"/>
    <mergeCell ref="U41:V41"/>
    <mergeCell ref="Y41:Z41"/>
    <mergeCell ref="D41:J41"/>
    <mergeCell ref="D44:J44"/>
    <mergeCell ref="W44:Y44"/>
    <mergeCell ref="J38:U38"/>
    <mergeCell ref="V23:W24"/>
    <mergeCell ref="X23:Y24"/>
    <mergeCell ref="Z23:AA24"/>
    <mergeCell ref="N24:O24"/>
    <mergeCell ref="P24:Q24"/>
    <mergeCell ref="N25:O25"/>
    <mergeCell ref="N23:Q23"/>
    <mergeCell ref="X17:Y17"/>
    <mergeCell ref="T18:U18"/>
    <mergeCell ref="V18:W18"/>
    <mergeCell ref="X18:Y18"/>
    <mergeCell ref="N18:O18"/>
    <mergeCell ref="P18:Q18"/>
    <mergeCell ref="R18:S18"/>
    <mergeCell ref="P17:Q17"/>
    <mergeCell ref="R17:S17"/>
    <mergeCell ref="X19:Y19"/>
    <mergeCell ref="Z19:AA19"/>
    <mergeCell ref="B20:U20"/>
    <mergeCell ref="V20:W20"/>
    <mergeCell ref="X20:Y20"/>
    <mergeCell ref="Z20:AA20"/>
    <mergeCell ref="B19:C19"/>
    <mergeCell ref="D19:E19"/>
    <mergeCell ref="N19:O19"/>
    <mergeCell ref="P19:Q19"/>
    <mergeCell ref="R19:S19"/>
    <mergeCell ref="T19:U19"/>
    <mergeCell ref="V19:W19"/>
    <mergeCell ref="H19:I19"/>
    <mergeCell ref="J19:K19"/>
    <mergeCell ref="L19:M19"/>
    <mergeCell ref="Z18:AA18"/>
    <mergeCell ref="Z17:AA17"/>
    <mergeCell ref="B18:C18"/>
    <mergeCell ref="D18:E18"/>
    <mergeCell ref="F18:G18"/>
    <mergeCell ref="Z16:AA16"/>
    <mergeCell ref="L17:M17"/>
    <mergeCell ref="N17:O17"/>
    <mergeCell ref="H18:I18"/>
    <mergeCell ref="J18:K18"/>
    <mergeCell ref="L18:M18"/>
    <mergeCell ref="T17:U17"/>
    <mergeCell ref="V17:W17"/>
    <mergeCell ref="T16:U16"/>
    <mergeCell ref="V16:W16"/>
    <mergeCell ref="X16:Y16"/>
    <mergeCell ref="L16:M16"/>
    <mergeCell ref="Z15:AA15"/>
    <mergeCell ref="Z10:AA10"/>
    <mergeCell ref="B11:C11"/>
    <mergeCell ref="D11:E11"/>
    <mergeCell ref="F11:G11"/>
    <mergeCell ref="H11:I11"/>
    <mergeCell ref="J11:K11"/>
    <mergeCell ref="L11:M11"/>
    <mergeCell ref="P11:Q11"/>
    <mergeCell ref="R11:S11"/>
    <mergeCell ref="N10:O10"/>
    <mergeCell ref="B10:C10"/>
    <mergeCell ref="D10:E10"/>
    <mergeCell ref="F10:G10"/>
    <mergeCell ref="H10:I10"/>
    <mergeCell ref="J10:K10"/>
    <mergeCell ref="L10:M10"/>
    <mergeCell ref="P12:Q12"/>
    <mergeCell ref="X15:Y15"/>
    <mergeCell ref="X14:Y14"/>
    <mergeCell ref="R10:S10"/>
    <mergeCell ref="T10:U10"/>
    <mergeCell ref="V10:W10"/>
    <mergeCell ref="N11:O11"/>
    <mergeCell ref="Z9:AA9"/>
    <mergeCell ref="Z8:AA8"/>
    <mergeCell ref="B8:C8"/>
    <mergeCell ref="D8:E8"/>
    <mergeCell ref="F8:G8"/>
    <mergeCell ref="H8:I8"/>
    <mergeCell ref="J8:K8"/>
    <mergeCell ref="L8:M8"/>
    <mergeCell ref="B9:C9"/>
    <mergeCell ref="D9:E9"/>
    <mergeCell ref="N9:O9"/>
    <mergeCell ref="P9:Q9"/>
    <mergeCell ref="R9:S9"/>
    <mergeCell ref="F9:G9"/>
    <mergeCell ref="H9:I9"/>
    <mergeCell ref="J9:K9"/>
    <mergeCell ref="L9:M9"/>
    <mergeCell ref="T9:U9"/>
    <mergeCell ref="V9:W9"/>
    <mergeCell ref="X9:Y9"/>
    <mergeCell ref="AD6:AE6"/>
    <mergeCell ref="AH6:AI6"/>
    <mergeCell ref="N8:O8"/>
    <mergeCell ref="AK6:AL6"/>
    <mergeCell ref="P7:Q7"/>
    <mergeCell ref="R7:S7"/>
    <mergeCell ref="T7:U7"/>
    <mergeCell ref="V5:W7"/>
    <mergeCell ref="V8:W8"/>
    <mergeCell ref="X8:Y8"/>
    <mergeCell ref="P8:Q8"/>
    <mergeCell ref="R8:S8"/>
    <mergeCell ref="T8:U8"/>
    <mergeCell ref="B2:AA2"/>
    <mergeCell ref="R4:U4"/>
    <mergeCell ref="V4:W4"/>
    <mergeCell ref="X4:Y4"/>
    <mergeCell ref="B5:C7"/>
    <mergeCell ref="D5:G5"/>
    <mergeCell ref="H5:I7"/>
    <mergeCell ref="D6:E7"/>
    <mergeCell ref="F6:G7"/>
    <mergeCell ref="N6:O7"/>
    <mergeCell ref="X5:Y7"/>
    <mergeCell ref="Z5:AA7"/>
    <mergeCell ref="P6:U6"/>
    <mergeCell ref="J5:K7"/>
    <mergeCell ref="L5:M7"/>
    <mergeCell ref="N5:U5"/>
    <mergeCell ref="X10:Y10"/>
    <mergeCell ref="P15:Q15"/>
    <mergeCell ref="R15:S15"/>
    <mergeCell ref="R16:S16"/>
    <mergeCell ref="N16:O16"/>
    <mergeCell ref="P16:Q16"/>
    <mergeCell ref="N14:O14"/>
    <mergeCell ref="P14:Q14"/>
    <mergeCell ref="R14:S14"/>
    <mergeCell ref="T15:U15"/>
    <mergeCell ref="V15:W15"/>
    <mergeCell ref="T14:U14"/>
    <mergeCell ref="N15:O15"/>
    <mergeCell ref="V14:W14"/>
    <mergeCell ref="B14:C14"/>
    <mergeCell ref="D14:E14"/>
    <mergeCell ref="F14:G14"/>
    <mergeCell ref="H14:I14"/>
    <mergeCell ref="J14:K14"/>
    <mergeCell ref="L14:M14"/>
    <mergeCell ref="P10:Q10"/>
    <mergeCell ref="T11:U11"/>
    <mergeCell ref="V11:W11"/>
    <mergeCell ref="B12:C12"/>
    <mergeCell ref="B13:C13"/>
    <mergeCell ref="D12:E12"/>
    <mergeCell ref="F12:G12"/>
    <mergeCell ref="H12:I12"/>
    <mergeCell ref="J12:K12"/>
    <mergeCell ref="L12:M12"/>
    <mergeCell ref="D13:E13"/>
    <mergeCell ref="F13:G13"/>
    <mergeCell ref="H13:I13"/>
    <mergeCell ref="J13:K13"/>
    <mergeCell ref="L13:M13"/>
    <mergeCell ref="P13:Q13"/>
    <mergeCell ref="N12:O12"/>
    <mergeCell ref="N13:O13"/>
    <mergeCell ref="J33:K33"/>
    <mergeCell ref="B15:C15"/>
    <mergeCell ref="D15:E15"/>
    <mergeCell ref="F15:G15"/>
    <mergeCell ref="H15:I15"/>
    <mergeCell ref="B16:C16"/>
    <mergeCell ref="D16:E16"/>
    <mergeCell ref="F16:G16"/>
    <mergeCell ref="H16:I16"/>
    <mergeCell ref="J16:K16"/>
    <mergeCell ref="F19:G19"/>
    <mergeCell ref="J31:K32"/>
    <mergeCell ref="J23:M24"/>
    <mergeCell ref="J25:M25"/>
    <mergeCell ref="J27:M27"/>
    <mergeCell ref="J15:K15"/>
    <mergeCell ref="L15:M15"/>
    <mergeCell ref="B17:C17"/>
    <mergeCell ref="D17:E17"/>
    <mergeCell ref="F17:G17"/>
    <mergeCell ref="H17:I17"/>
    <mergeCell ref="J17:K17"/>
    <mergeCell ref="J26:M26"/>
    <mergeCell ref="Z14:AA14"/>
    <mergeCell ref="R12:S12"/>
    <mergeCell ref="T12:U12"/>
    <mergeCell ref="T13:U13"/>
    <mergeCell ref="V13:W13"/>
    <mergeCell ref="X13:Y13"/>
    <mergeCell ref="Z13:AA13"/>
    <mergeCell ref="Z12:AA12"/>
    <mergeCell ref="Z11:AA11"/>
    <mergeCell ref="X11:Y11"/>
    <mergeCell ref="V12:W12"/>
    <mergeCell ref="X12:Y12"/>
    <mergeCell ref="R13:S13"/>
  </mergeCells>
  <phoneticPr fontId="2"/>
  <conditionalFormatting sqref="V20:W20">
    <cfRule type="expression" dxfId="162" priority="66" stopIfTrue="1">
      <formula>$V$20=0</formula>
    </cfRule>
  </conditionalFormatting>
  <conditionalFormatting sqref="X20:Y20">
    <cfRule type="expression" dxfId="161" priority="65" stopIfTrue="1">
      <formula>$X$20=0</formula>
    </cfRule>
  </conditionalFormatting>
  <conditionalFormatting sqref="Z20:AA20">
    <cfRule type="expression" dxfId="160" priority="64" stopIfTrue="1">
      <formula>$Z$20=0</formula>
    </cfRule>
  </conditionalFormatting>
  <conditionalFormatting sqref="V28:W28">
    <cfRule type="expression" dxfId="159" priority="63" stopIfTrue="1">
      <formula>$V$28:$W$28=0</formula>
    </cfRule>
  </conditionalFormatting>
  <conditionalFormatting sqref="V38:W38">
    <cfRule type="expression" dxfId="158" priority="62" stopIfTrue="1">
      <formula>$V$38:$W$38=0</formula>
    </cfRule>
  </conditionalFormatting>
  <conditionalFormatting sqref="Y41:Z41">
    <cfRule type="expression" dxfId="157" priority="61" stopIfTrue="1">
      <formula>$Y$41=0</formula>
    </cfRule>
  </conditionalFormatting>
  <conditionalFormatting sqref="Q41:R41">
    <cfRule type="expression" dxfId="156" priority="60" stopIfTrue="1">
      <formula>$Q$41=0</formula>
    </cfRule>
  </conditionalFormatting>
  <conditionalFormatting sqref="U41:V41">
    <cfRule type="expression" dxfId="155" priority="59" stopIfTrue="1">
      <formula>$U$41=0</formula>
    </cfRule>
  </conditionalFormatting>
  <conditionalFormatting sqref="L41:N41">
    <cfRule type="expression" dxfId="154" priority="58" stopIfTrue="1">
      <formula>$L$41=0</formula>
    </cfRule>
  </conditionalFormatting>
  <conditionalFormatting sqref="X8:Y8">
    <cfRule type="expression" dxfId="153" priority="56" stopIfTrue="1">
      <formula>#VALUE!</formula>
    </cfRule>
    <cfRule type="expression" dxfId="152" priority="57" stopIfTrue="1">
      <formula>#VALUE!</formula>
    </cfRule>
  </conditionalFormatting>
  <conditionalFormatting sqref="X19:Y19">
    <cfRule type="expression" dxfId="151" priority="55" stopIfTrue="1">
      <formula>#VALUE!</formula>
    </cfRule>
  </conditionalFormatting>
  <conditionalFormatting sqref="X28:Y28">
    <cfRule type="expression" dxfId="150" priority="28" stopIfTrue="1">
      <formula>$X$28:$Y$28=0</formula>
    </cfRule>
  </conditionalFormatting>
  <conditionalFormatting sqref="Z28:AA28">
    <cfRule type="expression" dxfId="149" priority="27" stopIfTrue="1">
      <formula>$Z$28:$AA$28=0</formula>
    </cfRule>
  </conditionalFormatting>
  <conditionalFormatting sqref="X38:Y38">
    <cfRule type="expression" dxfId="148" priority="26" stopIfTrue="1">
      <formula>$X$38:$Y$38=0</formula>
    </cfRule>
  </conditionalFormatting>
  <conditionalFormatting sqref="Z38:AA38">
    <cfRule type="expression" dxfId="147" priority="25" stopIfTrue="1">
      <formula>$Z$38:$AA$38=0</formula>
    </cfRule>
  </conditionalFormatting>
  <conditionalFormatting sqref="P8:U8">
    <cfRule type="expression" dxfId="146" priority="12" stopIfTrue="1">
      <formula>$AG$8=TRUE</formula>
    </cfRule>
  </conditionalFormatting>
  <conditionalFormatting sqref="P15:U15">
    <cfRule type="expression" dxfId="145" priority="11" stopIfTrue="1">
      <formula>$AG$15=TRUE</formula>
    </cfRule>
  </conditionalFormatting>
  <conditionalFormatting sqref="P16:U16">
    <cfRule type="expression" dxfId="144" priority="10" stopIfTrue="1">
      <formula>$AG$16=TRUE</formula>
    </cfRule>
  </conditionalFormatting>
  <conditionalFormatting sqref="P17:U17">
    <cfRule type="expression" dxfId="143" priority="9" stopIfTrue="1">
      <formula>$AG$17=TRUE</formula>
    </cfRule>
  </conditionalFormatting>
  <conditionalFormatting sqref="P18:U18">
    <cfRule type="expression" dxfId="142" priority="8" stopIfTrue="1">
      <formula>$AG$18=TRUE</formula>
    </cfRule>
  </conditionalFormatting>
  <conditionalFormatting sqref="P19:U19">
    <cfRule type="expression" dxfId="141" priority="7" stopIfTrue="1">
      <formula>$AG$19=TRUE</formula>
    </cfRule>
  </conditionalFormatting>
  <conditionalFormatting sqref="P10:U10">
    <cfRule type="expression" dxfId="140" priority="6" stopIfTrue="1">
      <formula>$AG$10=TRUE</formula>
    </cfRule>
  </conditionalFormatting>
  <conditionalFormatting sqref="P11:U11">
    <cfRule type="expression" dxfId="139" priority="5" stopIfTrue="1">
      <formula>$AG$11=TRUE</formula>
    </cfRule>
  </conditionalFormatting>
  <conditionalFormatting sqref="P14:U14">
    <cfRule type="expression" dxfId="138" priority="4" stopIfTrue="1">
      <formula>$AG$14=TRUE</formula>
    </cfRule>
  </conditionalFormatting>
  <conditionalFormatting sqref="P9:U9">
    <cfRule type="expression" dxfId="137" priority="3" stopIfTrue="1">
      <formula>$AG$9=TRUE</formula>
    </cfRule>
  </conditionalFormatting>
  <conditionalFormatting sqref="P12:U12">
    <cfRule type="expression" dxfId="136" priority="2">
      <formula>$AG$12=TRUE</formula>
    </cfRule>
  </conditionalFormatting>
  <conditionalFormatting sqref="P13:U13">
    <cfRule type="expression" dxfId="135" priority="1">
      <formula>$AG$13=TRUE</formula>
    </cfRule>
  </conditionalFormatting>
  <dataValidations count="1">
    <dataValidation type="list" allowBlank="1" showInputMessage="1" showErrorMessage="1" sqref="U25 U27 T25:T27 M14:M19 L8:L19 M8:M11">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88" orientation="portrait" horizontalDpi="300" verticalDpi="300" r:id="rId1"/>
  <headerFooter>
    <oddHeader>&amp;Rver. 1.7[H28]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4993" r:id="rId4" name="Check Box 1">
              <controlPr defaultSize="0" autoFill="0" autoLine="0" autoPict="0">
                <anchor moveWithCells="1">
                  <from>
                    <xdr:col>13</xdr:col>
                    <xdr:colOff>190500</xdr:colOff>
                    <xdr:row>7</xdr:row>
                    <xdr:rowOff>47625</xdr:rowOff>
                  </from>
                  <to>
                    <xdr:col>14</xdr:col>
                    <xdr:colOff>200025</xdr:colOff>
                    <xdr:row>7</xdr:row>
                    <xdr:rowOff>257175</xdr:rowOff>
                  </to>
                </anchor>
              </controlPr>
            </control>
          </mc:Choice>
        </mc:AlternateContent>
        <mc:AlternateContent xmlns:mc="http://schemas.openxmlformats.org/markup-compatibility/2006">
          <mc:Choice Requires="x14">
            <control shapeId="84994" r:id="rId5" name="Check Box 2">
              <controlPr defaultSize="0" autoFill="0" autoLine="0" autoPict="0">
                <anchor moveWithCells="1">
                  <from>
                    <xdr:col>13</xdr:col>
                    <xdr:colOff>190500</xdr:colOff>
                    <xdr:row>8</xdr:row>
                    <xdr:rowOff>47625</xdr:rowOff>
                  </from>
                  <to>
                    <xdr:col>14</xdr:col>
                    <xdr:colOff>200025</xdr:colOff>
                    <xdr:row>8</xdr:row>
                    <xdr:rowOff>257175</xdr:rowOff>
                  </to>
                </anchor>
              </controlPr>
            </control>
          </mc:Choice>
        </mc:AlternateContent>
        <mc:AlternateContent xmlns:mc="http://schemas.openxmlformats.org/markup-compatibility/2006">
          <mc:Choice Requires="x14">
            <control shapeId="84995" r:id="rId6" name="Check Box 3">
              <controlPr defaultSize="0" autoFill="0" autoLine="0" autoPict="0">
                <anchor moveWithCells="1">
                  <from>
                    <xdr:col>13</xdr:col>
                    <xdr:colOff>190500</xdr:colOff>
                    <xdr:row>14</xdr:row>
                    <xdr:rowOff>47625</xdr:rowOff>
                  </from>
                  <to>
                    <xdr:col>14</xdr:col>
                    <xdr:colOff>200025</xdr:colOff>
                    <xdr:row>14</xdr:row>
                    <xdr:rowOff>257175</xdr:rowOff>
                  </to>
                </anchor>
              </controlPr>
            </control>
          </mc:Choice>
        </mc:AlternateContent>
        <mc:AlternateContent xmlns:mc="http://schemas.openxmlformats.org/markup-compatibility/2006">
          <mc:Choice Requires="x14">
            <control shapeId="84996" r:id="rId7" name="Check Box 4">
              <controlPr defaultSize="0" autoFill="0" autoLine="0" autoPict="0">
                <anchor moveWithCells="1">
                  <from>
                    <xdr:col>13</xdr:col>
                    <xdr:colOff>190500</xdr:colOff>
                    <xdr:row>15</xdr:row>
                    <xdr:rowOff>47625</xdr:rowOff>
                  </from>
                  <to>
                    <xdr:col>14</xdr:col>
                    <xdr:colOff>200025</xdr:colOff>
                    <xdr:row>15</xdr:row>
                    <xdr:rowOff>257175</xdr:rowOff>
                  </to>
                </anchor>
              </controlPr>
            </control>
          </mc:Choice>
        </mc:AlternateContent>
        <mc:AlternateContent xmlns:mc="http://schemas.openxmlformats.org/markup-compatibility/2006">
          <mc:Choice Requires="x14">
            <control shapeId="84997" r:id="rId8" name="Check Box 5">
              <controlPr defaultSize="0" autoFill="0" autoLine="0" autoPict="0">
                <anchor moveWithCells="1">
                  <from>
                    <xdr:col>13</xdr:col>
                    <xdr:colOff>190500</xdr:colOff>
                    <xdr:row>16</xdr:row>
                    <xdr:rowOff>47625</xdr:rowOff>
                  </from>
                  <to>
                    <xdr:col>14</xdr:col>
                    <xdr:colOff>200025</xdr:colOff>
                    <xdr:row>16</xdr:row>
                    <xdr:rowOff>257175</xdr:rowOff>
                  </to>
                </anchor>
              </controlPr>
            </control>
          </mc:Choice>
        </mc:AlternateContent>
        <mc:AlternateContent xmlns:mc="http://schemas.openxmlformats.org/markup-compatibility/2006">
          <mc:Choice Requires="x14">
            <control shapeId="84998" r:id="rId9" name="Check Box 6">
              <controlPr defaultSize="0" autoFill="0" autoLine="0" autoPict="0">
                <anchor moveWithCells="1">
                  <from>
                    <xdr:col>13</xdr:col>
                    <xdr:colOff>190500</xdr:colOff>
                    <xdr:row>17</xdr:row>
                    <xdr:rowOff>47625</xdr:rowOff>
                  </from>
                  <to>
                    <xdr:col>14</xdr:col>
                    <xdr:colOff>200025</xdr:colOff>
                    <xdr:row>17</xdr:row>
                    <xdr:rowOff>257175</xdr:rowOff>
                  </to>
                </anchor>
              </controlPr>
            </control>
          </mc:Choice>
        </mc:AlternateContent>
        <mc:AlternateContent xmlns:mc="http://schemas.openxmlformats.org/markup-compatibility/2006">
          <mc:Choice Requires="x14">
            <control shapeId="84999" r:id="rId10" name="Check Box 7">
              <controlPr defaultSize="0" autoFill="0" autoLine="0" autoPict="0">
                <anchor moveWithCells="1">
                  <from>
                    <xdr:col>13</xdr:col>
                    <xdr:colOff>190500</xdr:colOff>
                    <xdr:row>18</xdr:row>
                    <xdr:rowOff>47625</xdr:rowOff>
                  </from>
                  <to>
                    <xdr:col>14</xdr:col>
                    <xdr:colOff>200025</xdr:colOff>
                    <xdr:row>18</xdr:row>
                    <xdr:rowOff>257175</xdr:rowOff>
                  </to>
                </anchor>
              </controlPr>
            </control>
          </mc:Choice>
        </mc:AlternateContent>
        <mc:AlternateContent xmlns:mc="http://schemas.openxmlformats.org/markup-compatibility/2006">
          <mc:Choice Requires="x14">
            <control shapeId="85018" r:id="rId11" name="Check Box 26">
              <controlPr defaultSize="0" autoFill="0" autoLine="0" autoPict="0">
                <anchor moveWithCells="1">
                  <from>
                    <xdr:col>13</xdr:col>
                    <xdr:colOff>190500</xdr:colOff>
                    <xdr:row>9</xdr:row>
                    <xdr:rowOff>47625</xdr:rowOff>
                  </from>
                  <to>
                    <xdr:col>14</xdr:col>
                    <xdr:colOff>200025</xdr:colOff>
                    <xdr:row>9</xdr:row>
                    <xdr:rowOff>257175</xdr:rowOff>
                  </to>
                </anchor>
              </controlPr>
            </control>
          </mc:Choice>
        </mc:AlternateContent>
        <mc:AlternateContent xmlns:mc="http://schemas.openxmlformats.org/markup-compatibility/2006">
          <mc:Choice Requires="x14">
            <control shapeId="85019" r:id="rId12" name="Check Box 27">
              <controlPr defaultSize="0" autoFill="0" autoLine="0" autoPict="0">
                <anchor moveWithCells="1">
                  <from>
                    <xdr:col>13</xdr:col>
                    <xdr:colOff>190500</xdr:colOff>
                    <xdr:row>10</xdr:row>
                    <xdr:rowOff>47625</xdr:rowOff>
                  </from>
                  <to>
                    <xdr:col>14</xdr:col>
                    <xdr:colOff>200025</xdr:colOff>
                    <xdr:row>10</xdr:row>
                    <xdr:rowOff>257175</xdr:rowOff>
                  </to>
                </anchor>
              </controlPr>
            </control>
          </mc:Choice>
        </mc:AlternateContent>
        <mc:AlternateContent xmlns:mc="http://schemas.openxmlformats.org/markup-compatibility/2006">
          <mc:Choice Requires="x14">
            <control shapeId="85020" r:id="rId13" name="Check Box 28">
              <controlPr defaultSize="0" autoFill="0" autoLine="0" autoPict="0">
                <anchor moveWithCells="1">
                  <from>
                    <xdr:col>13</xdr:col>
                    <xdr:colOff>190500</xdr:colOff>
                    <xdr:row>13</xdr:row>
                    <xdr:rowOff>47625</xdr:rowOff>
                  </from>
                  <to>
                    <xdr:col>14</xdr:col>
                    <xdr:colOff>200025</xdr:colOff>
                    <xdr:row>13</xdr:row>
                    <xdr:rowOff>257175</xdr:rowOff>
                  </to>
                </anchor>
              </controlPr>
            </control>
          </mc:Choice>
        </mc:AlternateContent>
        <mc:AlternateContent xmlns:mc="http://schemas.openxmlformats.org/markup-compatibility/2006">
          <mc:Choice Requires="x14">
            <control shapeId="85039" r:id="rId14" name="Check Box 47">
              <controlPr defaultSize="0" autoFill="0" autoLine="0" autoPict="0">
                <anchor moveWithCells="1">
                  <from>
                    <xdr:col>19</xdr:col>
                    <xdr:colOff>190500</xdr:colOff>
                    <xdr:row>32</xdr:row>
                    <xdr:rowOff>47625</xdr:rowOff>
                  </from>
                  <to>
                    <xdr:col>20</xdr:col>
                    <xdr:colOff>200025</xdr:colOff>
                    <xdr:row>32</xdr:row>
                    <xdr:rowOff>257175</xdr:rowOff>
                  </to>
                </anchor>
              </controlPr>
            </control>
          </mc:Choice>
        </mc:AlternateContent>
        <mc:AlternateContent xmlns:mc="http://schemas.openxmlformats.org/markup-compatibility/2006">
          <mc:Choice Requires="x14">
            <control shapeId="85040" r:id="rId15" name="Check Box 48">
              <controlPr defaultSize="0" autoFill="0" autoLine="0" autoPict="0">
                <anchor moveWithCells="1">
                  <from>
                    <xdr:col>19</xdr:col>
                    <xdr:colOff>190500</xdr:colOff>
                    <xdr:row>35</xdr:row>
                    <xdr:rowOff>47625</xdr:rowOff>
                  </from>
                  <to>
                    <xdr:col>20</xdr:col>
                    <xdr:colOff>200025</xdr:colOff>
                    <xdr:row>35</xdr:row>
                    <xdr:rowOff>257175</xdr:rowOff>
                  </to>
                </anchor>
              </controlPr>
            </control>
          </mc:Choice>
        </mc:AlternateContent>
        <mc:AlternateContent xmlns:mc="http://schemas.openxmlformats.org/markup-compatibility/2006">
          <mc:Choice Requires="x14">
            <control shapeId="85041" r:id="rId16" name="Check Box 49">
              <controlPr defaultSize="0" autoFill="0" autoLine="0" autoPict="0">
                <anchor moveWithCells="1">
                  <from>
                    <xdr:col>19</xdr:col>
                    <xdr:colOff>190500</xdr:colOff>
                    <xdr:row>36</xdr:row>
                    <xdr:rowOff>47625</xdr:rowOff>
                  </from>
                  <to>
                    <xdr:col>20</xdr:col>
                    <xdr:colOff>200025</xdr:colOff>
                    <xdr:row>36</xdr:row>
                    <xdr:rowOff>257175</xdr:rowOff>
                  </to>
                </anchor>
              </controlPr>
            </control>
          </mc:Choice>
        </mc:AlternateContent>
        <mc:AlternateContent xmlns:mc="http://schemas.openxmlformats.org/markup-compatibility/2006">
          <mc:Choice Requires="x14">
            <control shapeId="85054" r:id="rId17" name="Check Box 62">
              <controlPr defaultSize="0" autoFill="0" autoLine="0" autoPict="0">
                <anchor moveWithCells="1">
                  <from>
                    <xdr:col>13</xdr:col>
                    <xdr:colOff>190500</xdr:colOff>
                    <xdr:row>11</xdr:row>
                    <xdr:rowOff>47625</xdr:rowOff>
                  </from>
                  <to>
                    <xdr:col>14</xdr:col>
                    <xdr:colOff>200025</xdr:colOff>
                    <xdr:row>11</xdr:row>
                    <xdr:rowOff>257175</xdr:rowOff>
                  </to>
                </anchor>
              </controlPr>
            </control>
          </mc:Choice>
        </mc:AlternateContent>
        <mc:AlternateContent xmlns:mc="http://schemas.openxmlformats.org/markup-compatibility/2006">
          <mc:Choice Requires="x14">
            <control shapeId="85058" r:id="rId18" name="Check Box 66">
              <controlPr defaultSize="0" autoFill="0" autoLine="0" autoPict="0">
                <anchor moveWithCells="1">
                  <from>
                    <xdr:col>13</xdr:col>
                    <xdr:colOff>190500</xdr:colOff>
                    <xdr:row>12</xdr:row>
                    <xdr:rowOff>47625</xdr:rowOff>
                  </from>
                  <to>
                    <xdr:col>14</xdr:col>
                    <xdr:colOff>200025</xdr:colOff>
                    <xdr:row>12</xdr:row>
                    <xdr:rowOff>257175</xdr:rowOff>
                  </to>
                </anchor>
              </controlPr>
            </control>
          </mc:Choice>
        </mc:AlternateContent>
        <mc:AlternateContent xmlns:mc="http://schemas.openxmlformats.org/markup-compatibility/2006">
          <mc:Choice Requires="x14">
            <control shapeId="85059" r:id="rId19" name="Check Box 67">
              <controlPr defaultSize="0" autoFill="0" autoLine="0" autoPict="0">
                <anchor moveWithCells="1">
                  <from>
                    <xdr:col>19</xdr:col>
                    <xdr:colOff>190500</xdr:colOff>
                    <xdr:row>33</xdr:row>
                    <xdr:rowOff>47625</xdr:rowOff>
                  </from>
                  <to>
                    <xdr:col>20</xdr:col>
                    <xdr:colOff>200025</xdr:colOff>
                    <xdr:row>33</xdr:row>
                    <xdr:rowOff>257175</xdr:rowOff>
                  </to>
                </anchor>
              </controlPr>
            </control>
          </mc:Choice>
        </mc:AlternateContent>
        <mc:AlternateContent xmlns:mc="http://schemas.openxmlformats.org/markup-compatibility/2006">
          <mc:Choice Requires="x14">
            <control shapeId="85060" r:id="rId20" name="Check Box 68">
              <controlPr defaultSize="0" autoFill="0" autoLine="0" autoPict="0">
                <anchor moveWithCells="1">
                  <from>
                    <xdr:col>19</xdr:col>
                    <xdr:colOff>190500</xdr:colOff>
                    <xdr:row>34</xdr:row>
                    <xdr:rowOff>47625</xdr:rowOff>
                  </from>
                  <to>
                    <xdr:col>20</xdr:col>
                    <xdr:colOff>200025</xdr:colOff>
                    <xdr:row>34</xdr:row>
                    <xdr:rowOff>257175</xdr:rowOff>
                  </to>
                </anchor>
              </controlPr>
            </control>
          </mc:Choice>
        </mc:AlternateContent>
        <mc:AlternateContent xmlns:mc="http://schemas.openxmlformats.org/markup-compatibility/2006">
          <mc:Choice Requires="x14">
            <control shapeId="85061" r:id="rId21" name="Check Box 69">
              <controlPr defaultSize="0" autoFill="0" autoLine="0" autoPict="0">
                <anchor moveWithCells="1">
                  <from>
                    <xdr:col>13</xdr:col>
                    <xdr:colOff>190500</xdr:colOff>
                    <xdr:row>7</xdr:row>
                    <xdr:rowOff>47625</xdr:rowOff>
                  </from>
                  <to>
                    <xdr:col>14</xdr:col>
                    <xdr:colOff>200025</xdr:colOff>
                    <xdr:row>7</xdr:row>
                    <xdr:rowOff>257175</xdr:rowOff>
                  </to>
                </anchor>
              </controlPr>
            </control>
          </mc:Choice>
        </mc:AlternateContent>
        <mc:AlternateContent xmlns:mc="http://schemas.openxmlformats.org/markup-compatibility/2006">
          <mc:Choice Requires="x14">
            <control shapeId="85062" r:id="rId22" name="Check Box 70">
              <controlPr defaultSize="0" autoFill="0" autoLine="0" autoPict="0">
                <anchor moveWithCells="1">
                  <from>
                    <xdr:col>13</xdr:col>
                    <xdr:colOff>190500</xdr:colOff>
                    <xdr:row>8</xdr:row>
                    <xdr:rowOff>47625</xdr:rowOff>
                  </from>
                  <to>
                    <xdr:col>14</xdr:col>
                    <xdr:colOff>200025</xdr:colOff>
                    <xdr:row>8</xdr:row>
                    <xdr:rowOff>257175</xdr:rowOff>
                  </to>
                </anchor>
              </controlPr>
            </control>
          </mc:Choice>
        </mc:AlternateContent>
        <mc:AlternateContent xmlns:mc="http://schemas.openxmlformats.org/markup-compatibility/2006">
          <mc:Choice Requires="x14">
            <control shapeId="85063" r:id="rId23" name="Check Box 71">
              <controlPr defaultSize="0" autoFill="0" autoLine="0" autoPict="0">
                <anchor moveWithCells="1">
                  <from>
                    <xdr:col>13</xdr:col>
                    <xdr:colOff>190500</xdr:colOff>
                    <xdr:row>14</xdr:row>
                    <xdr:rowOff>47625</xdr:rowOff>
                  </from>
                  <to>
                    <xdr:col>14</xdr:col>
                    <xdr:colOff>200025</xdr:colOff>
                    <xdr:row>14</xdr:row>
                    <xdr:rowOff>257175</xdr:rowOff>
                  </to>
                </anchor>
              </controlPr>
            </control>
          </mc:Choice>
        </mc:AlternateContent>
        <mc:AlternateContent xmlns:mc="http://schemas.openxmlformats.org/markup-compatibility/2006">
          <mc:Choice Requires="x14">
            <control shapeId="85064" r:id="rId24" name="Check Box 72">
              <controlPr defaultSize="0" autoFill="0" autoLine="0" autoPict="0">
                <anchor moveWithCells="1">
                  <from>
                    <xdr:col>13</xdr:col>
                    <xdr:colOff>190500</xdr:colOff>
                    <xdr:row>15</xdr:row>
                    <xdr:rowOff>47625</xdr:rowOff>
                  </from>
                  <to>
                    <xdr:col>14</xdr:col>
                    <xdr:colOff>200025</xdr:colOff>
                    <xdr:row>15</xdr:row>
                    <xdr:rowOff>257175</xdr:rowOff>
                  </to>
                </anchor>
              </controlPr>
            </control>
          </mc:Choice>
        </mc:AlternateContent>
        <mc:AlternateContent xmlns:mc="http://schemas.openxmlformats.org/markup-compatibility/2006">
          <mc:Choice Requires="x14">
            <control shapeId="85065" r:id="rId25" name="Check Box 73">
              <controlPr defaultSize="0" autoFill="0" autoLine="0" autoPict="0">
                <anchor moveWithCells="1">
                  <from>
                    <xdr:col>13</xdr:col>
                    <xdr:colOff>190500</xdr:colOff>
                    <xdr:row>16</xdr:row>
                    <xdr:rowOff>47625</xdr:rowOff>
                  </from>
                  <to>
                    <xdr:col>14</xdr:col>
                    <xdr:colOff>200025</xdr:colOff>
                    <xdr:row>16</xdr:row>
                    <xdr:rowOff>257175</xdr:rowOff>
                  </to>
                </anchor>
              </controlPr>
            </control>
          </mc:Choice>
        </mc:AlternateContent>
        <mc:AlternateContent xmlns:mc="http://schemas.openxmlformats.org/markup-compatibility/2006">
          <mc:Choice Requires="x14">
            <control shapeId="85066" r:id="rId26" name="Check Box 74">
              <controlPr defaultSize="0" autoFill="0" autoLine="0" autoPict="0">
                <anchor moveWithCells="1">
                  <from>
                    <xdr:col>13</xdr:col>
                    <xdr:colOff>190500</xdr:colOff>
                    <xdr:row>17</xdr:row>
                    <xdr:rowOff>47625</xdr:rowOff>
                  </from>
                  <to>
                    <xdr:col>14</xdr:col>
                    <xdr:colOff>200025</xdr:colOff>
                    <xdr:row>17</xdr:row>
                    <xdr:rowOff>257175</xdr:rowOff>
                  </to>
                </anchor>
              </controlPr>
            </control>
          </mc:Choice>
        </mc:AlternateContent>
        <mc:AlternateContent xmlns:mc="http://schemas.openxmlformats.org/markup-compatibility/2006">
          <mc:Choice Requires="x14">
            <control shapeId="85067" r:id="rId27" name="Check Box 75">
              <controlPr defaultSize="0" autoFill="0" autoLine="0" autoPict="0">
                <anchor moveWithCells="1">
                  <from>
                    <xdr:col>13</xdr:col>
                    <xdr:colOff>190500</xdr:colOff>
                    <xdr:row>18</xdr:row>
                    <xdr:rowOff>47625</xdr:rowOff>
                  </from>
                  <to>
                    <xdr:col>14</xdr:col>
                    <xdr:colOff>200025</xdr:colOff>
                    <xdr:row>18</xdr:row>
                    <xdr:rowOff>257175</xdr:rowOff>
                  </to>
                </anchor>
              </controlPr>
            </control>
          </mc:Choice>
        </mc:AlternateContent>
        <mc:AlternateContent xmlns:mc="http://schemas.openxmlformats.org/markup-compatibility/2006">
          <mc:Choice Requires="x14">
            <control shapeId="85068" r:id="rId28" name="Check Box 76">
              <controlPr defaultSize="0" autoFill="0" autoLine="0" autoPict="0">
                <anchor moveWithCells="1">
                  <from>
                    <xdr:col>13</xdr:col>
                    <xdr:colOff>190500</xdr:colOff>
                    <xdr:row>9</xdr:row>
                    <xdr:rowOff>47625</xdr:rowOff>
                  </from>
                  <to>
                    <xdr:col>14</xdr:col>
                    <xdr:colOff>200025</xdr:colOff>
                    <xdr:row>9</xdr:row>
                    <xdr:rowOff>257175</xdr:rowOff>
                  </to>
                </anchor>
              </controlPr>
            </control>
          </mc:Choice>
        </mc:AlternateContent>
        <mc:AlternateContent xmlns:mc="http://schemas.openxmlformats.org/markup-compatibility/2006">
          <mc:Choice Requires="x14">
            <control shapeId="85069" r:id="rId29" name="Check Box 77">
              <controlPr defaultSize="0" autoFill="0" autoLine="0" autoPict="0">
                <anchor moveWithCells="1">
                  <from>
                    <xdr:col>13</xdr:col>
                    <xdr:colOff>190500</xdr:colOff>
                    <xdr:row>10</xdr:row>
                    <xdr:rowOff>47625</xdr:rowOff>
                  </from>
                  <to>
                    <xdr:col>14</xdr:col>
                    <xdr:colOff>200025</xdr:colOff>
                    <xdr:row>10</xdr:row>
                    <xdr:rowOff>257175</xdr:rowOff>
                  </to>
                </anchor>
              </controlPr>
            </control>
          </mc:Choice>
        </mc:AlternateContent>
        <mc:AlternateContent xmlns:mc="http://schemas.openxmlformats.org/markup-compatibility/2006">
          <mc:Choice Requires="x14">
            <control shapeId="85070" r:id="rId30" name="Check Box 78">
              <controlPr defaultSize="0" autoFill="0" autoLine="0" autoPict="0">
                <anchor moveWithCells="1">
                  <from>
                    <xdr:col>13</xdr:col>
                    <xdr:colOff>190500</xdr:colOff>
                    <xdr:row>13</xdr:row>
                    <xdr:rowOff>47625</xdr:rowOff>
                  </from>
                  <to>
                    <xdr:col>14</xdr:col>
                    <xdr:colOff>200025</xdr:colOff>
                    <xdr:row>13</xdr:row>
                    <xdr:rowOff>257175</xdr:rowOff>
                  </to>
                </anchor>
              </controlPr>
            </control>
          </mc:Choice>
        </mc:AlternateContent>
        <mc:AlternateContent xmlns:mc="http://schemas.openxmlformats.org/markup-compatibility/2006">
          <mc:Choice Requires="x14">
            <control shapeId="85071" r:id="rId31" name="Check Box 79">
              <controlPr defaultSize="0" autoFill="0" autoLine="0" autoPict="0">
                <anchor moveWithCells="1">
                  <from>
                    <xdr:col>13</xdr:col>
                    <xdr:colOff>190500</xdr:colOff>
                    <xdr:row>11</xdr:row>
                    <xdr:rowOff>47625</xdr:rowOff>
                  </from>
                  <to>
                    <xdr:col>14</xdr:col>
                    <xdr:colOff>200025</xdr:colOff>
                    <xdr:row>11</xdr:row>
                    <xdr:rowOff>257175</xdr:rowOff>
                  </to>
                </anchor>
              </controlPr>
            </control>
          </mc:Choice>
        </mc:AlternateContent>
        <mc:AlternateContent xmlns:mc="http://schemas.openxmlformats.org/markup-compatibility/2006">
          <mc:Choice Requires="x14">
            <control shapeId="85072" r:id="rId32" name="Check Box 80">
              <controlPr defaultSize="0" autoFill="0" autoLine="0" autoPict="0">
                <anchor moveWithCells="1">
                  <from>
                    <xdr:col>13</xdr:col>
                    <xdr:colOff>190500</xdr:colOff>
                    <xdr:row>12</xdr:row>
                    <xdr:rowOff>47625</xdr:rowOff>
                  </from>
                  <to>
                    <xdr:col>14</xdr:col>
                    <xdr:colOff>200025</xdr:colOff>
                    <xdr:row>12</xdr:row>
                    <xdr:rowOff>257175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1:AO106"/>
  <sheetViews>
    <sheetView showGridLines="0" view="pageBreakPreview" zoomScaleNormal="100" zoomScaleSheetLayoutView="100" workbookViewId="0">
      <selection activeCell="R37" sqref="R37:S37"/>
    </sheetView>
  </sheetViews>
  <sheetFormatPr defaultRowHeight="13.5"/>
  <cols>
    <col min="1" max="1" width="0.875" style="52" customWidth="1"/>
    <col min="2" max="29" width="3.875" style="52" customWidth="1"/>
    <col min="30" max="31" width="10.625" style="52" hidden="1" customWidth="1"/>
    <col min="32" max="32" width="2.625" style="52" hidden="1" customWidth="1"/>
    <col min="33" max="35" width="10.625" style="52" hidden="1" customWidth="1"/>
    <col min="36" max="36" width="2.625" style="52" hidden="1" customWidth="1"/>
    <col min="37" max="38" width="15.625" style="52" hidden="1" customWidth="1"/>
    <col min="39" max="39" width="2.625" style="52" hidden="1" customWidth="1"/>
    <col min="40" max="41" width="10.625" style="52" hidden="1" customWidth="1"/>
    <col min="42" max="43" width="3.625" style="52" customWidth="1"/>
    <col min="44" max="49" width="4.625" style="52" customWidth="1"/>
    <col min="50" max="16384" width="9" style="52"/>
  </cols>
  <sheetData>
    <row r="1" spans="2:41" ht="3.95" customHeight="1"/>
    <row r="2" spans="2:41" s="36" customFormat="1" ht="30" customHeight="1">
      <c r="B2" s="447" t="s">
        <v>109</v>
      </c>
      <c r="C2" s="447"/>
      <c r="D2" s="447"/>
      <c r="E2" s="447"/>
      <c r="F2" s="447"/>
      <c r="G2" s="447"/>
      <c r="H2" s="447"/>
      <c r="I2" s="447"/>
      <c r="J2" s="447"/>
      <c r="K2" s="447"/>
      <c r="L2" s="447"/>
      <c r="M2" s="447"/>
      <c r="N2" s="447"/>
      <c r="O2" s="447"/>
      <c r="P2" s="447"/>
      <c r="Q2" s="447"/>
      <c r="R2" s="447"/>
      <c r="S2" s="447"/>
      <c r="T2" s="447"/>
      <c r="U2" s="447"/>
      <c r="V2" s="447"/>
      <c r="W2" s="447"/>
      <c r="X2" s="447"/>
      <c r="Y2" s="447"/>
      <c r="Z2" s="447"/>
      <c r="AA2" s="447"/>
    </row>
    <row r="3" spans="2:41" s="37" customFormat="1" ht="24.95" customHeight="1" thickBot="1"/>
    <row r="4" spans="2:41" s="37" customFormat="1" ht="21.95" customHeight="1" thickBot="1">
      <c r="B4" s="38" t="s">
        <v>5</v>
      </c>
      <c r="R4" s="448" t="s">
        <v>35</v>
      </c>
      <c r="S4" s="449"/>
      <c r="T4" s="449"/>
      <c r="U4" s="450"/>
      <c r="V4" s="506">
        <f>IF(共通条件・結果!AA7="８地域","0.414",IF(共通条件・結果!AA7="７地域",0.415,IF(共通条件・結果!AA7="６地域",0.431,IF(共通条件・結果!AA7="５地域",0.437,IF(共通条件・結果!AA7="４地域",0.426,IF(共通条件・結果!AA7="３地域",0.39,IF(共通条件・結果!AA7="２地域",0.412,IF(共通条件・結果!AA7="１地域",0.43))))))))</f>
        <v>0.43099999999999999</v>
      </c>
      <c r="W4" s="507"/>
      <c r="X4" s="506">
        <f>IF(共通条件・結果!AA7="８地域","-",IF(共通条件・結果!AA7="７地域",0.281,IF(共通条件・結果!AA7="６地域",0.325,IF(共通条件・結果!AA7="５地域",0.31,IF(共通条件・結果!AA7="４地域",0.33,IF(共通条件・結果!AA7="３地域",0.348,IF(共通条件・結果!AA7="２地域",0.341,IF(共通条件・結果!AA7="１地域",0.333))))))))</f>
        <v>0.32500000000000001</v>
      </c>
      <c r="Y4" s="507"/>
    </row>
    <row r="5" spans="2:41" s="37" customFormat="1" ht="21.95" customHeight="1">
      <c r="B5" s="453" t="s">
        <v>6</v>
      </c>
      <c r="C5" s="361"/>
      <c r="D5" s="361" t="s">
        <v>91</v>
      </c>
      <c r="E5" s="361"/>
      <c r="F5" s="361"/>
      <c r="G5" s="361"/>
      <c r="H5" s="361" t="s">
        <v>7</v>
      </c>
      <c r="I5" s="361"/>
      <c r="J5" s="360" t="s">
        <v>99</v>
      </c>
      <c r="K5" s="361"/>
      <c r="L5" s="360" t="s">
        <v>10</v>
      </c>
      <c r="M5" s="361"/>
      <c r="N5" s="456" t="s">
        <v>71</v>
      </c>
      <c r="O5" s="457"/>
      <c r="P5" s="457"/>
      <c r="Q5" s="457"/>
      <c r="R5" s="457"/>
      <c r="S5" s="457"/>
      <c r="T5" s="457"/>
      <c r="U5" s="457"/>
      <c r="V5" s="360" t="s">
        <v>66</v>
      </c>
      <c r="W5" s="361"/>
      <c r="X5" s="360" t="s">
        <v>67</v>
      </c>
      <c r="Y5" s="361"/>
      <c r="Z5" s="361" t="s">
        <v>13</v>
      </c>
      <c r="AA5" s="363"/>
    </row>
    <row r="6" spans="2:41" s="37" customFormat="1" ht="21.95" customHeight="1">
      <c r="B6" s="454"/>
      <c r="C6" s="443"/>
      <c r="D6" s="469" t="s">
        <v>9</v>
      </c>
      <c r="E6" s="470"/>
      <c r="F6" s="473" t="s">
        <v>8</v>
      </c>
      <c r="G6" s="474"/>
      <c r="H6" s="443"/>
      <c r="I6" s="443"/>
      <c r="J6" s="442"/>
      <c r="K6" s="443"/>
      <c r="L6" s="442"/>
      <c r="M6" s="443"/>
      <c r="N6" s="476" t="s">
        <v>69</v>
      </c>
      <c r="O6" s="477"/>
      <c r="P6" s="479" t="s">
        <v>70</v>
      </c>
      <c r="Q6" s="480"/>
      <c r="R6" s="480"/>
      <c r="S6" s="480"/>
      <c r="T6" s="480"/>
      <c r="U6" s="481"/>
      <c r="V6" s="442"/>
      <c r="W6" s="443"/>
      <c r="X6" s="442"/>
      <c r="Y6" s="443"/>
      <c r="Z6" s="443"/>
      <c r="AA6" s="444"/>
      <c r="AD6" s="401" t="s">
        <v>74</v>
      </c>
      <c r="AE6" s="401"/>
      <c r="AF6" s="39"/>
      <c r="AG6" s="39"/>
      <c r="AH6" s="401" t="s">
        <v>14</v>
      </c>
      <c r="AI6" s="401"/>
      <c r="AJ6" s="39"/>
      <c r="AK6" s="401" t="s">
        <v>75</v>
      </c>
      <c r="AL6" s="401"/>
      <c r="AN6" s="401" t="s">
        <v>89</v>
      </c>
      <c r="AO6" s="401"/>
    </row>
    <row r="7" spans="2:41" s="37" customFormat="1" ht="21.95" customHeight="1" thickBot="1">
      <c r="B7" s="455"/>
      <c r="C7" s="362"/>
      <c r="D7" s="471"/>
      <c r="E7" s="472"/>
      <c r="F7" s="475"/>
      <c r="G7" s="438"/>
      <c r="H7" s="362"/>
      <c r="I7" s="362"/>
      <c r="J7" s="362"/>
      <c r="K7" s="362"/>
      <c r="L7" s="362"/>
      <c r="M7" s="362"/>
      <c r="N7" s="378"/>
      <c r="O7" s="478"/>
      <c r="P7" s="438" t="s">
        <v>11</v>
      </c>
      <c r="Q7" s="439"/>
      <c r="R7" s="440" t="s">
        <v>12</v>
      </c>
      <c r="S7" s="441"/>
      <c r="T7" s="438" t="s">
        <v>3</v>
      </c>
      <c r="U7" s="439"/>
      <c r="V7" s="362"/>
      <c r="W7" s="362"/>
      <c r="X7" s="362"/>
      <c r="Y7" s="362"/>
      <c r="Z7" s="362"/>
      <c r="AA7" s="364"/>
      <c r="AD7" s="39" t="s">
        <v>4</v>
      </c>
      <c r="AE7" s="39" t="s">
        <v>18</v>
      </c>
      <c r="AF7" s="39"/>
      <c r="AG7" s="39"/>
      <c r="AH7" s="39" t="s">
        <v>4</v>
      </c>
      <c r="AI7" s="39" t="s">
        <v>18</v>
      </c>
      <c r="AJ7" s="39"/>
      <c r="AK7" s="39" t="s">
        <v>4</v>
      </c>
      <c r="AL7" s="39" t="s">
        <v>18</v>
      </c>
      <c r="AN7" s="37" t="s">
        <v>87</v>
      </c>
      <c r="AO7" s="37" t="s">
        <v>85</v>
      </c>
    </row>
    <row r="8" spans="2:41" s="37" customFormat="1" ht="21.95" customHeight="1">
      <c r="B8" s="433"/>
      <c r="C8" s="434"/>
      <c r="D8" s="435"/>
      <c r="E8" s="436"/>
      <c r="F8" s="436"/>
      <c r="G8" s="437"/>
      <c r="H8" s="392"/>
      <c r="I8" s="392"/>
      <c r="J8" s="392"/>
      <c r="K8" s="392"/>
      <c r="L8" s="410"/>
      <c r="M8" s="410"/>
      <c r="N8" s="482"/>
      <c r="O8" s="483"/>
      <c r="P8" s="461"/>
      <c r="Q8" s="484"/>
      <c r="R8" s="458"/>
      <c r="S8" s="459"/>
      <c r="T8" s="460"/>
      <c r="U8" s="461"/>
      <c r="V8" s="462" t="str">
        <f>IF(D8="","",AD8)</f>
        <v/>
      </c>
      <c r="W8" s="462"/>
      <c r="X8" s="462" t="str">
        <f t="shared" ref="X8:X19" si="0">IF(D8="","",IF(ISERROR(AE8),"-",AE8))</f>
        <v/>
      </c>
      <c r="Y8" s="462"/>
      <c r="Z8" s="462" t="str">
        <f>IF(D8="","",D8*F8*AN8)</f>
        <v/>
      </c>
      <c r="AA8" s="463"/>
      <c r="AD8" s="37" t="e">
        <f>D8*F8*J8*$V$4*AH8</f>
        <v>#VALUE!</v>
      </c>
      <c r="AE8" s="37" t="e">
        <f>D8*F8*J8*$X$4*AI8</f>
        <v>#VALUE!</v>
      </c>
      <c r="AG8" s="40" t="b">
        <v>0</v>
      </c>
      <c r="AH8" s="37" t="str">
        <f>IF(AG8=TRUE,"0.93",IF(ISERROR(AK8),"エラー",IF(AK8&gt;0.93,"0.93",AK8)))</f>
        <v>エラー</v>
      </c>
      <c r="AI8" s="37" t="str">
        <f>IF(AG8=TRUE,"0.51",IF(ISERROR(AL8),"エラー",IF(AL8&gt;0.72,"0.72",AL8)))</f>
        <v>エラー</v>
      </c>
      <c r="AK8" s="37" t="e">
        <f>0.01*(16+24*(2*R8+T8)/P8)</f>
        <v>#DIV/0!</v>
      </c>
      <c r="AL8" s="37" t="e">
        <f>0.01*(10+15*(2*R8+T8)/P8)</f>
        <v>#DIV/0!</v>
      </c>
      <c r="AN8" s="37">
        <f>IF(共通条件・結果!$AA$7="８地域",H8,IF(AO8="FALSE",H8,IF(L8="風除室",1/((1/H8)+0.1),0.5*H8+0.5*(1/((1/H8)+AO8)))))</f>
        <v>0</v>
      </c>
      <c r="AO8" s="39" t="str">
        <f t="shared" ref="AO8:AO19" si="1">IF(L8="","FALSE",IF(L8="雨戸",0.1,IF(L8="ｼｬｯﾀｰ",0.1,IF(L8="障子",0.18,IF(L8="風除室",0.1)))))</f>
        <v>FALSE</v>
      </c>
    </row>
    <row r="9" spans="2:41" s="37" customFormat="1" ht="21.95" customHeight="1">
      <c r="B9" s="419"/>
      <c r="C9" s="420"/>
      <c r="D9" s="421"/>
      <c r="E9" s="422"/>
      <c r="F9" s="422"/>
      <c r="G9" s="423"/>
      <c r="H9" s="370"/>
      <c r="I9" s="370"/>
      <c r="J9" s="370"/>
      <c r="K9" s="370"/>
      <c r="L9" s="398" t="s">
        <v>65</v>
      </c>
      <c r="M9" s="398"/>
      <c r="N9" s="428"/>
      <c r="O9" s="429"/>
      <c r="P9" s="427"/>
      <c r="Q9" s="430"/>
      <c r="R9" s="424"/>
      <c r="S9" s="425"/>
      <c r="T9" s="426"/>
      <c r="U9" s="427"/>
      <c r="V9" s="358" t="str">
        <f t="shared" ref="V9:V19" si="2">IF(D9="","",AD9)</f>
        <v/>
      </c>
      <c r="W9" s="358"/>
      <c r="X9" s="358" t="str">
        <f t="shared" si="0"/>
        <v/>
      </c>
      <c r="Y9" s="358"/>
      <c r="Z9" s="358" t="str">
        <f t="shared" ref="Z9:Z19" si="3">IF(D9="","",D9*F9*AN9)</f>
        <v/>
      </c>
      <c r="AA9" s="359"/>
      <c r="AD9" s="37" t="e">
        <f t="shared" ref="AD9:AD19" si="4">D9*F9*J9*$V$4*AH9</f>
        <v>#VALUE!</v>
      </c>
      <c r="AE9" s="37" t="e">
        <f t="shared" ref="AE9:AE19" si="5">D9*F9*J9*$X$4*AI9</f>
        <v>#VALUE!</v>
      </c>
      <c r="AG9" s="40" t="b">
        <v>0</v>
      </c>
      <c r="AH9" s="37" t="str">
        <f t="shared" ref="AH9:AH19" si="6">IF(AG9=TRUE,"0.93",IF(ISERROR(AK9),"エラー",IF(AK9&gt;0.93,"0.93",AK9)))</f>
        <v>エラー</v>
      </c>
      <c r="AI9" s="37" t="str">
        <f t="shared" ref="AI9:AI19" si="7">IF(AG9=TRUE,"0.51",IF(ISERROR(AL9),"エラー",IF(AL9&gt;0.72,"0.72",AL9)))</f>
        <v>エラー</v>
      </c>
      <c r="AK9" s="37" t="e">
        <f t="shared" ref="AK9:AK19" si="8">0.01*(16+24*(2*R9+T9)/P9)</f>
        <v>#DIV/0!</v>
      </c>
      <c r="AL9" s="37" t="e">
        <f t="shared" ref="AL9:AL19" si="9">0.01*(10+15*(2*R9+T9)/P9)</f>
        <v>#DIV/0!</v>
      </c>
      <c r="AN9" s="37" t="e">
        <f>IF(共通条件・結果!$AA$7="８地域",H9,IF(AO9="FALSE",H9,IF(L9="風除室",1/((1/H9)+0.1),0.5*H9+0.5*(1/((1/H9)+AO9)))))</f>
        <v>#DIV/0!</v>
      </c>
      <c r="AO9" s="39" t="b">
        <f t="shared" si="1"/>
        <v>0</v>
      </c>
    </row>
    <row r="10" spans="2:41" s="37" customFormat="1" ht="21.95" customHeight="1">
      <c r="B10" s="419"/>
      <c r="C10" s="420"/>
      <c r="D10" s="421"/>
      <c r="E10" s="422"/>
      <c r="F10" s="422"/>
      <c r="G10" s="423"/>
      <c r="H10" s="370"/>
      <c r="I10" s="370"/>
      <c r="J10" s="370"/>
      <c r="K10" s="370"/>
      <c r="L10" s="398" t="s">
        <v>65</v>
      </c>
      <c r="M10" s="398"/>
      <c r="N10" s="428"/>
      <c r="O10" s="429"/>
      <c r="P10" s="430"/>
      <c r="Q10" s="432"/>
      <c r="R10" s="431"/>
      <c r="S10" s="432"/>
      <c r="T10" s="431"/>
      <c r="U10" s="426"/>
      <c r="V10" s="358" t="str">
        <f t="shared" si="2"/>
        <v/>
      </c>
      <c r="W10" s="358"/>
      <c r="X10" s="358" t="str">
        <f t="shared" si="0"/>
        <v/>
      </c>
      <c r="Y10" s="358"/>
      <c r="Z10" s="358" t="str">
        <f t="shared" si="3"/>
        <v/>
      </c>
      <c r="AA10" s="359"/>
      <c r="AD10" s="37" t="e">
        <f t="shared" si="4"/>
        <v>#VALUE!</v>
      </c>
      <c r="AE10" s="37" t="e">
        <f t="shared" si="5"/>
        <v>#VALUE!</v>
      </c>
      <c r="AG10" s="40" t="b">
        <v>0</v>
      </c>
      <c r="AH10" s="37" t="str">
        <f t="shared" si="6"/>
        <v>エラー</v>
      </c>
      <c r="AI10" s="37" t="str">
        <f t="shared" si="7"/>
        <v>エラー</v>
      </c>
      <c r="AK10" s="37" t="e">
        <f t="shared" si="8"/>
        <v>#DIV/0!</v>
      </c>
      <c r="AL10" s="37" t="e">
        <f t="shared" si="9"/>
        <v>#DIV/0!</v>
      </c>
      <c r="AN10" s="37" t="e">
        <f>IF(共通条件・結果!$AA$7="８地域",H10,IF(AO10="FALSE",H10,IF(L10="風除室",1/((1/H10)+0.1),0.5*H10+0.5*(1/((1/H10)+AO10)))))</f>
        <v>#DIV/0!</v>
      </c>
      <c r="AO10" s="39" t="b">
        <f t="shared" si="1"/>
        <v>0</v>
      </c>
    </row>
    <row r="11" spans="2:41" s="37" customFormat="1" ht="21.95" customHeight="1">
      <c r="B11" s="419"/>
      <c r="C11" s="420"/>
      <c r="D11" s="421"/>
      <c r="E11" s="422"/>
      <c r="F11" s="422"/>
      <c r="G11" s="423"/>
      <c r="H11" s="370"/>
      <c r="I11" s="370"/>
      <c r="J11" s="370"/>
      <c r="K11" s="370"/>
      <c r="L11" s="398" t="s">
        <v>65</v>
      </c>
      <c r="M11" s="398"/>
      <c r="N11" s="428"/>
      <c r="O11" s="429"/>
      <c r="P11" s="430"/>
      <c r="Q11" s="432"/>
      <c r="R11" s="431"/>
      <c r="S11" s="432"/>
      <c r="T11" s="431"/>
      <c r="U11" s="426"/>
      <c r="V11" s="358" t="str">
        <f t="shared" si="2"/>
        <v/>
      </c>
      <c r="W11" s="358"/>
      <c r="X11" s="358" t="str">
        <f t="shared" si="0"/>
        <v/>
      </c>
      <c r="Y11" s="358"/>
      <c r="Z11" s="358" t="str">
        <f t="shared" si="3"/>
        <v/>
      </c>
      <c r="AA11" s="359"/>
      <c r="AD11" s="37" t="e">
        <f t="shared" si="4"/>
        <v>#VALUE!</v>
      </c>
      <c r="AE11" s="37" t="e">
        <f t="shared" si="5"/>
        <v>#VALUE!</v>
      </c>
      <c r="AG11" s="40" t="b">
        <v>0</v>
      </c>
      <c r="AH11" s="37" t="str">
        <f t="shared" si="6"/>
        <v>エラー</v>
      </c>
      <c r="AI11" s="37" t="str">
        <f t="shared" si="7"/>
        <v>エラー</v>
      </c>
      <c r="AK11" s="37" t="e">
        <f t="shared" si="8"/>
        <v>#DIV/0!</v>
      </c>
      <c r="AL11" s="37" t="e">
        <f t="shared" si="9"/>
        <v>#DIV/0!</v>
      </c>
      <c r="AN11" s="37" t="e">
        <f>IF(共通条件・結果!$AA$7="８地域",H11,IF(AO11="FALSE",H11,IF(L11="風除室",1/((1/H11)+0.1),0.5*H11+0.5*(1/((1/H11)+AO11)))))</f>
        <v>#DIV/0!</v>
      </c>
      <c r="AO11" s="39" t="b">
        <f t="shared" si="1"/>
        <v>0</v>
      </c>
    </row>
    <row r="12" spans="2:41" s="37" customFormat="1" ht="21.95" customHeight="1">
      <c r="B12" s="419"/>
      <c r="C12" s="445"/>
      <c r="D12" s="488"/>
      <c r="E12" s="492"/>
      <c r="F12" s="493"/>
      <c r="G12" s="489"/>
      <c r="H12" s="488"/>
      <c r="I12" s="489"/>
      <c r="J12" s="488"/>
      <c r="K12" s="489"/>
      <c r="L12" s="495"/>
      <c r="M12" s="496"/>
      <c r="N12" s="428"/>
      <c r="O12" s="497"/>
      <c r="P12" s="430"/>
      <c r="Q12" s="432"/>
      <c r="R12" s="431"/>
      <c r="S12" s="432"/>
      <c r="T12" s="431"/>
      <c r="U12" s="426"/>
      <c r="V12" s="358" t="str">
        <f t="shared" ref="V12:V13" si="10">IF(D12="","",AD12)</f>
        <v/>
      </c>
      <c r="W12" s="358"/>
      <c r="X12" s="358" t="str">
        <f t="shared" ref="X12:X13" si="11">IF(D12="","",IF(ISERROR(AE12),"-",AE12))</f>
        <v/>
      </c>
      <c r="Y12" s="358"/>
      <c r="Z12" s="358" t="str">
        <f t="shared" ref="Z12:Z13" si="12">IF(D12="","",D12*F12*AN12)</f>
        <v/>
      </c>
      <c r="AA12" s="359"/>
      <c r="AD12" s="37" t="e">
        <f t="shared" ref="AD12:AD13" si="13">D12*F12*J12*$V$4*AH12</f>
        <v>#VALUE!</v>
      </c>
      <c r="AE12" s="37" t="e">
        <f t="shared" ref="AE12:AE13" si="14">D12*F12*J12*$X$4*AI12</f>
        <v>#VALUE!</v>
      </c>
      <c r="AG12" s="40" t="b">
        <v>0</v>
      </c>
      <c r="AH12" s="37" t="str">
        <f t="shared" ref="AH12:AH13" si="15">IF(AG12=TRUE,"0.93",IF(ISERROR(AK12),"エラー",IF(AK12&gt;0.93,"0.93",AK12)))</f>
        <v>エラー</v>
      </c>
      <c r="AI12" s="37" t="str">
        <f t="shared" ref="AI12:AI13" si="16">IF(AG12=TRUE,"0.51",IF(ISERROR(AL12),"エラー",IF(AL12&gt;0.72,"0.72",AL12)))</f>
        <v>エラー</v>
      </c>
      <c r="AK12" s="37" t="e">
        <f t="shared" ref="AK12:AK13" si="17">0.01*(16+24*(2*R12+T12)/P12)</f>
        <v>#DIV/0!</v>
      </c>
      <c r="AL12" s="37" t="e">
        <f t="shared" ref="AL12:AL13" si="18">0.01*(10+15*(2*R12+T12)/P12)</f>
        <v>#DIV/0!</v>
      </c>
      <c r="AN12" s="37">
        <f>IF(共通条件・結果!$AA$7="８地域",H12,IF(AO12="FALSE",H12,IF(L12="風除室",1/((1/H12)+0.1),0.5*H12+0.5*(1/((1/H12)+AO12)))))</f>
        <v>0</v>
      </c>
      <c r="AO12" s="95" t="str">
        <f t="shared" ref="AO12:AO13" si="19">IF(L12="","FALSE",IF(L12="雨戸",0.1,IF(L12="ｼｬｯﾀｰ",0.1,IF(L12="障子",0.18,IF(L12="風除室",0.1)))))</f>
        <v>FALSE</v>
      </c>
    </row>
    <row r="13" spans="2:41" s="37" customFormat="1" ht="21.95" customHeight="1">
      <c r="B13" s="419"/>
      <c r="C13" s="445"/>
      <c r="D13" s="488"/>
      <c r="E13" s="492"/>
      <c r="F13" s="493"/>
      <c r="G13" s="489"/>
      <c r="H13" s="488"/>
      <c r="I13" s="489"/>
      <c r="J13" s="488"/>
      <c r="K13" s="489"/>
      <c r="L13" s="495"/>
      <c r="M13" s="496"/>
      <c r="N13" s="428"/>
      <c r="O13" s="497"/>
      <c r="P13" s="430"/>
      <c r="Q13" s="432"/>
      <c r="R13" s="431"/>
      <c r="S13" s="432"/>
      <c r="T13" s="431"/>
      <c r="U13" s="426"/>
      <c r="V13" s="358" t="str">
        <f t="shared" si="10"/>
        <v/>
      </c>
      <c r="W13" s="358"/>
      <c r="X13" s="358" t="str">
        <f t="shared" si="11"/>
        <v/>
      </c>
      <c r="Y13" s="358"/>
      <c r="Z13" s="358" t="str">
        <f t="shared" si="12"/>
        <v/>
      </c>
      <c r="AA13" s="359"/>
      <c r="AD13" s="37" t="e">
        <f t="shared" si="13"/>
        <v>#VALUE!</v>
      </c>
      <c r="AE13" s="37" t="e">
        <f t="shared" si="14"/>
        <v>#VALUE!</v>
      </c>
      <c r="AG13" s="40" t="b">
        <v>0</v>
      </c>
      <c r="AH13" s="37" t="str">
        <f t="shared" si="15"/>
        <v>エラー</v>
      </c>
      <c r="AI13" s="37" t="str">
        <f t="shared" si="16"/>
        <v>エラー</v>
      </c>
      <c r="AK13" s="37" t="e">
        <f t="shared" si="17"/>
        <v>#DIV/0!</v>
      </c>
      <c r="AL13" s="37" t="e">
        <f t="shared" si="18"/>
        <v>#DIV/0!</v>
      </c>
      <c r="AN13" s="37">
        <f>IF(共通条件・結果!$AA$7="８地域",H13,IF(AO13="FALSE",H13,IF(L13="風除室",1/((1/H13)+0.1),0.5*H13+0.5*(1/((1/H13)+AO13)))))</f>
        <v>0</v>
      </c>
      <c r="AO13" s="95" t="str">
        <f t="shared" si="19"/>
        <v>FALSE</v>
      </c>
    </row>
    <row r="14" spans="2:41" s="37" customFormat="1" ht="21.95" customHeight="1">
      <c r="B14" s="419"/>
      <c r="C14" s="420"/>
      <c r="D14" s="421"/>
      <c r="E14" s="422"/>
      <c r="F14" s="422"/>
      <c r="G14" s="423"/>
      <c r="H14" s="370"/>
      <c r="I14" s="370"/>
      <c r="J14" s="370"/>
      <c r="K14" s="370"/>
      <c r="L14" s="398" t="s">
        <v>65</v>
      </c>
      <c r="M14" s="398"/>
      <c r="N14" s="428"/>
      <c r="O14" s="429"/>
      <c r="P14" s="430"/>
      <c r="Q14" s="432"/>
      <c r="R14" s="431"/>
      <c r="S14" s="432"/>
      <c r="T14" s="431"/>
      <c r="U14" s="426"/>
      <c r="V14" s="358" t="str">
        <f t="shared" si="2"/>
        <v/>
      </c>
      <c r="W14" s="358"/>
      <c r="X14" s="358" t="str">
        <f t="shared" si="0"/>
        <v/>
      </c>
      <c r="Y14" s="358"/>
      <c r="Z14" s="358" t="str">
        <f t="shared" si="3"/>
        <v/>
      </c>
      <c r="AA14" s="359"/>
      <c r="AD14" s="37" t="e">
        <f t="shared" si="4"/>
        <v>#VALUE!</v>
      </c>
      <c r="AE14" s="37" t="e">
        <f t="shared" si="5"/>
        <v>#VALUE!</v>
      </c>
      <c r="AG14" s="40" t="b">
        <v>0</v>
      </c>
      <c r="AH14" s="37" t="str">
        <f t="shared" si="6"/>
        <v>エラー</v>
      </c>
      <c r="AI14" s="37" t="str">
        <f t="shared" si="7"/>
        <v>エラー</v>
      </c>
      <c r="AK14" s="37" t="e">
        <f t="shared" si="8"/>
        <v>#DIV/0!</v>
      </c>
      <c r="AL14" s="37" t="e">
        <f t="shared" si="9"/>
        <v>#DIV/0!</v>
      </c>
      <c r="AN14" s="37" t="e">
        <f>IF(共通条件・結果!$AA$7="８地域",H14,IF(AO14="FALSE",H14,IF(L14="風除室",1/((1/H14)+0.1),0.5*H14+0.5*(1/((1/H14)+AO14)))))</f>
        <v>#DIV/0!</v>
      </c>
      <c r="AO14" s="39" t="b">
        <f t="shared" si="1"/>
        <v>0</v>
      </c>
    </row>
    <row r="15" spans="2:41" s="37" customFormat="1" ht="21.95" customHeight="1">
      <c r="B15" s="419"/>
      <c r="C15" s="420"/>
      <c r="D15" s="421"/>
      <c r="E15" s="422"/>
      <c r="F15" s="422"/>
      <c r="G15" s="423"/>
      <c r="H15" s="370"/>
      <c r="I15" s="370"/>
      <c r="J15" s="370"/>
      <c r="K15" s="370"/>
      <c r="L15" s="398" t="s">
        <v>65</v>
      </c>
      <c r="M15" s="398"/>
      <c r="N15" s="428"/>
      <c r="O15" s="429"/>
      <c r="P15" s="430"/>
      <c r="Q15" s="432"/>
      <c r="R15" s="431"/>
      <c r="S15" s="432"/>
      <c r="T15" s="431"/>
      <c r="U15" s="426"/>
      <c r="V15" s="356" t="str">
        <f t="shared" si="2"/>
        <v/>
      </c>
      <c r="W15" s="357"/>
      <c r="X15" s="358" t="str">
        <f t="shared" si="0"/>
        <v/>
      </c>
      <c r="Y15" s="358"/>
      <c r="Z15" s="358" t="str">
        <f t="shared" si="3"/>
        <v/>
      </c>
      <c r="AA15" s="359"/>
      <c r="AD15" s="37" t="e">
        <f t="shared" si="4"/>
        <v>#VALUE!</v>
      </c>
      <c r="AE15" s="37" t="e">
        <f t="shared" si="5"/>
        <v>#VALUE!</v>
      </c>
      <c r="AG15" s="40" t="b">
        <v>0</v>
      </c>
      <c r="AH15" s="37" t="str">
        <f t="shared" si="6"/>
        <v>エラー</v>
      </c>
      <c r="AI15" s="37" t="str">
        <f t="shared" si="7"/>
        <v>エラー</v>
      </c>
      <c r="AK15" s="37" t="e">
        <f t="shared" si="8"/>
        <v>#DIV/0!</v>
      </c>
      <c r="AL15" s="37" t="e">
        <f t="shared" si="9"/>
        <v>#DIV/0!</v>
      </c>
      <c r="AN15" s="37" t="e">
        <f>IF(共通条件・結果!$AA$7="８地域",H15,IF(AO15="FALSE",H15,IF(L15="風除室",1/((1/H15)+0.1),0.5*H15+0.5*(1/((1/H15)+AO15)))))</f>
        <v>#DIV/0!</v>
      </c>
      <c r="AO15" s="39" t="b">
        <f t="shared" si="1"/>
        <v>0</v>
      </c>
    </row>
    <row r="16" spans="2:41" s="37" customFormat="1" ht="21.95" customHeight="1">
      <c r="B16" s="419"/>
      <c r="C16" s="420"/>
      <c r="D16" s="421"/>
      <c r="E16" s="422"/>
      <c r="F16" s="422"/>
      <c r="G16" s="423"/>
      <c r="H16" s="370"/>
      <c r="I16" s="370"/>
      <c r="J16" s="370"/>
      <c r="K16" s="370"/>
      <c r="L16" s="398" t="s">
        <v>65</v>
      </c>
      <c r="M16" s="398"/>
      <c r="N16" s="428"/>
      <c r="O16" s="429"/>
      <c r="P16" s="430"/>
      <c r="Q16" s="432"/>
      <c r="R16" s="431"/>
      <c r="S16" s="432"/>
      <c r="T16" s="431"/>
      <c r="U16" s="426"/>
      <c r="V16" s="356" t="str">
        <f t="shared" si="2"/>
        <v/>
      </c>
      <c r="W16" s="357"/>
      <c r="X16" s="358" t="str">
        <f t="shared" si="0"/>
        <v/>
      </c>
      <c r="Y16" s="358"/>
      <c r="Z16" s="358" t="str">
        <f t="shared" si="3"/>
        <v/>
      </c>
      <c r="AA16" s="359"/>
      <c r="AD16" s="37" t="e">
        <f t="shared" si="4"/>
        <v>#VALUE!</v>
      </c>
      <c r="AE16" s="37" t="e">
        <f t="shared" si="5"/>
        <v>#VALUE!</v>
      </c>
      <c r="AG16" s="40" t="b">
        <v>0</v>
      </c>
      <c r="AH16" s="37" t="str">
        <f t="shared" si="6"/>
        <v>エラー</v>
      </c>
      <c r="AI16" s="37" t="str">
        <f t="shared" si="7"/>
        <v>エラー</v>
      </c>
      <c r="AK16" s="37" t="e">
        <f t="shared" si="8"/>
        <v>#DIV/0!</v>
      </c>
      <c r="AL16" s="37" t="e">
        <f t="shared" si="9"/>
        <v>#DIV/0!</v>
      </c>
      <c r="AN16" s="37" t="e">
        <f>IF(共通条件・結果!$AA$7="８地域",H16,IF(AO16="FALSE",H16,IF(L16="風除室",1/((1/H16)+0.1),0.5*H16+0.5*(1/((1/H16)+AO16)))))</f>
        <v>#DIV/0!</v>
      </c>
      <c r="AO16" s="39" t="b">
        <f t="shared" si="1"/>
        <v>0</v>
      </c>
    </row>
    <row r="17" spans="2:41" s="37" customFormat="1" ht="21.95" customHeight="1">
      <c r="B17" s="419"/>
      <c r="C17" s="420"/>
      <c r="D17" s="421"/>
      <c r="E17" s="422"/>
      <c r="F17" s="422"/>
      <c r="G17" s="423"/>
      <c r="H17" s="370"/>
      <c r="I17" s="370"/>
      <c r="J17" s="370"/>
      <c r="K17" s="370"/>
      <c r="L17" s="398" t="s">
        <v>65</v>
      </c>
      <c r="M17" s="398"/>
      <c r="N17" s="428"/>
      <c r="O17" s="429"/>
      <c r="P17" s="427"/>
      <c r="Q17" s="430"/>
      <c r="R17" s="431"/>
      <c r="S17" s="432"/>
      <c r="T17" s="431"/>
      <c r="U17" s="426"/>
      <c r="V17" s="356" t="str">
        <f t="shared" si="2"/>
        <v/>
      </c>
      <c r="W17" s="357"/>
      <c r="X17" s="358" t="str">
        <f t="shared" si="0"/>
        <v/>
      </c>
      <c r="Y17" s="358"/>
      <c r="Z17" s="358" t="str">
        <f t="shared" si="3"/>
        <v/>
      </c>
      <c r="AA17" s="359"/>
      <c r="AD17" s="37" t="e">
        <f t="shared" si="4"/>
        <v>#VALUE!</v>
      </c>
      <c r="AE17" s="37" t="e">
        <f t="shared" si="5"/>
        <v>#VALUE!</v>
      </c>
      <c r="AG17" s="40" t="b">
        <v>0</v>
      </c>
      <c r="AH17" s="37" t="str">
        <f t="shared" si="6"/>
        <v>エラー</v>
      </c>
      <c r="AI17" s="37" t="str">
        <f t="shared" si="7"/>
        <v>エラー</v>
      </c>
      <c r="AK17" s="37" t="e">
        <f t="shared" si="8"/>
        <v>#DIV/0!</v>
      </c>
      <c r="AL17" s="37" t="e">
        <f t="shared" si="9"/>
        <v>#DIV/0!</v>
      </c>
      <c r="AN17" s="37" t="e">
        <f>IF(共通条件・結果!$AA$7="８地域",H17,IF(AO17="FALSE",H17,IF(L17="風除室",1/((1/H17)+0.1),0.5*H17+0.5*(1/((1/H17)+AO17)))))</f>
        <v>#DIV/0!</v>
      </c>
      <c r="AO17" s="39" t="b">
        <f t="shared" si="1"/>
        <v>0</v>
      </c>
    </row>
    <row r="18" spans="2:41" s="37" customFormat="1" ht="21.95" customHeight="1">
      <c r="B18" s="419"/>
      <c r="C18" s="420"/>
      <c r="D18" s="421"/>
      <c r="E18" s="422"/>
      <c r="F18" s="422"/>
      <c r="G18" s="423"/>
      <c r="H18" s="370"/>
      <c r="I18" s="370"/>
      <c r="J18" s="370"/>
      <c r="K18" s="370"/>
      <c r="L18" s="398" t="s">
        <v>65</v>
      </c>
      <c r="M18" s="398"/>
      <c r="N18" s="428"/>
      <c r="O18" s="429"/>
      <c r="P18" s="427"/>
      <c r="Q18" s="430"/>
      <c r="R18" s="424"/>
      <c r="S18" s="425"/>
      <c r="T18" s="426"/>
      <c r="U18" s="427"/>
      <c r="V18" s="356" t="str">
        <f t="shared" si="2"/>
        <v/>
      </c>
      <c r="W18" s="357"/>
      <c r="X18" s="358" t="str">
        <f t="shared" si="0"/>
        <v/>
      </c>
      <c r="Y18" s="358"/>
      <c r="Z18" s="358" t="str">
        <f t="shared" si="3"/>
        <v/>
      </c>
      <c r="AA18" s="359"/>
      <c r="AD18" s="37" t="e">
        <f t="shared" si="4"/>
        <v>#VALUE!</v>
      </c>
      <c r="AE18" s="37" t="e">
        <f t="shared" si="5"/>
        <v>#VALUE!</v>
      </c>
      <c r="AG18" s="40" t="b">
        <v>0</v>
      </c>
      <c r="AH18" s="37" t="str">
        <f t="shared" si="6"/>
        <v>エラー</v>
      </c>
      <c r="AI18" s="37" t="str">
        <f t="shared" si="7"/>
        <v>エラー</v>
      </c>
      <c r="AK18" s="37" t="e">
        <f t="shared" si="8"/>
        <v>#DIV/0!</v>
      </c>
      <c r="AL18" s="37" t="e">
        <f t="shared" si="9"/>
        <v>#DIV/0!</v>
      </c>
      <c r="AN18" s="37" t="e">
        <f>IF(共通条件・結果!$AA$7="８地域",H18,IF(AO18="FALSE",H18,IF(L18="風除室",1/((1/H18)+0.1),0.5*H18+0.5*(1/((1/H18)+AO18)))))</f>
        <v>#DIV/0!</v>
      </c>
      <c r="AO18" s="39" t="b">
        <f t="shared" si="1"/>
        <v>0</v>
      </c>
    </row>
    <row r="19" spans="2:41" s="37" customFormat="1" ht="21.95" customHeight="1" thickBot="1">
      <c r="B19" s="350"/>
      <c r="C19" s="417"/>
      <c r="D19" s="394"/>
      <c r="E19" s="395"/>
      <c r="F19" s="395"/>
      <c r="G19" s="396"/>
      <c r="H19" s="397"/>
      <c r="I19" s="397"/>
      <c r="J19" s="397"/>
      <c r="K19" s="397"/>
      <c r="L19" s="410" t="s">
        <v>65</v>
      </c>
      <c r="M19" s="410"/>
      <c r="N19" s="411"/>
      <c r="O19" s="412"/>
      <c r="P19" s="413"/>
      <c r="Q19" s="414"/>
      <c r="R19" s="415"/>
      <c r="S19" s="416"/>
      <c r="T19" s="418"/>
      <c r="U19" s="413"/>
      <c r="V19" s="356" t="str">
        <f t="shared" si="2"/>
        <v/>
      </c>
      <c r="W19" s="357"/>
      <c r="X19" s="358" t="str">
        <f t="shared" si="0"/>
        <v/>
      </c>
      <c r="Y19" s="358"/>
      <c r="Z19" s="367" t="str">
        <f t="shared" si="3"/>
        <v/>
      </c>
      <c r="AA19" s="374"/>
      <c r="AD19" s="37" t="e">
        <f t="shared" si="4"/>
        <v>#VALUE!</v>
      </c>
      <c r="AE19" s="37" t="e">
        <f t="shared" si="5"/>
        <v>#VALUE!</v>
      </c>
      <c r="AG19" s="40" t="b">
        <v>0</v>
      </c>
      <c r="AH19" s="37" t="str">
        <f t="shared" si="6"/>
        <v>エラー</v>
      </c>
      <c r="AI19" s="37" t="str">
        <f t="shared" si="7"/>
        <v>エラー</v>
      </c>
      <c r="AK19" s="37" t="e">
        <f t="shared" si="8"/>
        <v>#DIV/0!</v>
      </c>
      <c r="AL19" s="37" t="e">
        <f t="shared" si="9"/>
        <v>#DIV/0!</v>
      </c>
      <c r="AN19" s="37" t="e">
        <f>IF(共通条件・結果!$AA$7="８地域",H19,IF(AO19="FALSE",H19,IF(L19="風除室",1/((1/H19)+0.1),0.5*H19+0.5*(1/((1/H19)+AO19)))))</f>
        <v>#DIV/0!</v>
      </c>
      <c r="AO19" s="39" t="b">
        <f t="shared" si="1"/>
        <v>0</v>
      </c>
    </row>
    <row r="20" spans="2:41" s="37" customFormat="1" ht="21.95" customHeight="1" thickBot="1">
      <c r="B20" s="408" t="s">
        <v>119</v>
      </c>
      <c r="C20" s="409"/>
      <c r="D20" s="409"/>
      <c r="E20" s="409"/>
      <c r="F20" s="409"/>
      <c r="G20" s="409"/>
      <c r="H20" s="409"/>
      <c r="I20" s="409"/>
      <c r="J20" s="409"/>
      <c r="K20" s="409"/>
      <c r="L20" s="409"/>
      <c r="M20" s="409"/>
      <c r="N20" s="409"/>
      <c r="O20" s="409"/>
      <c r="P20" s="409"/>
      <c r="Q20" s="409"/>
      <c r="R20" s="409"/>
      <c r="S20" s="409"/>
      <c r="T20" s="409"/>
      <c r="U20" s="409"/>
      <c r="V20" s="344">
        <f>SUM(V8:W19)</f>
        <v>0</v>
      </c>
      <c r="W20" s="344"/>
      <c r="X20" s="344">
        <f>SUM(X8:Y19)</f>
        <v>0</v>
      </c>
      <c r="Y20" s="344"/>
      <c r="Z20" s="344">
        <f>SUM(Z8:AA19)</f>
        <v>0</v>
      </c>
      <c r="AA20" s="345"/>
    </row>
    <row r="21" spans="2:41" s="37" customFormat="1" ht="9.9499999999999993" customHeight="1">
      <c r="AN21" s="401"/>
      <c r="AO21" s="401"/>
    </row>
    <row r="22" spans="2:41" s="37" customFormat="1" ht="21.95" customHeight="1" thickBot="1">
      <c r="J22" s="38" t="s">
        <v>15</v>
      </c>
      <c r="K22" s="38"/>
      <c r="L22" s="38"/>
    </row>
    <row r="23" spans="2:41" s="37" customFormat="1" ht="21.95" customHeight="1">
      <c r="J23" s="465" t="s">
        <v>16</v>
      </c>
      <c r="K23" s="486"/>
      <c r="L23" s="486"/>
      <c r="M23" s="466"/>
      <c r="N23" s="361" t="s">
        <v>91</v>
      </c>
      <c r="O23" s="361"/>
      <c r="P23" s="361"/>
      <c r="Q23" s="361"/>
      <c r="R23" s="361" t="s">
        <v>7</v>
      </c>
      <c r="S23" s="361"/>
      <c r="T23" s="402" t="s">
        <v>10</v>
      </c>
      <c r="U23" s="403"/>
      <c r="V23" s="360" t="s">
        <v>68</v>
      </c>
      <c r="W23" s="361"/>
      <c r="X23" s="360" t="s">
        <v>67</v>
      </c>
      <c r="Y23" s="361"/>
      <c r="Z23" s="361" t="s">
        <v>13</v>
      </c>
      <c r="AA23" s="363"/>
      <c r="AN23" s="401" t="s">
        <v>89</v>
      </c>
      <c r="AO23" s="401"/>
    </row>
    <row r="24" spans="2:41" s="37" customFormat="1" ht="21.95" customHeight="1" thickBot="1">
      <c r="J24" s="467"/>
      <c r="K24" s="475"/>
      <c r="L24" s="475"/>
      <c r="M24" s="438"/>
      <c r="N24" s="405" t="s">
        <v>9</v>
      </c>
      <c r="O24" s="406"/>
      <c r="P24" s="407" t="s">
        <v>8</v>
      </c>
      <c r="Q24" s="362"/>
      <c r="R24" s="362"/>
      <c r="S24" s="362"/>
      <c r="T24" s="404"/>
      <c r="U24" s="404"/>
      <c r="V24" s="362"/>
      <c r="W24" s="362"/>
      <c r="X24" s="362"/>
      <c r="Y24" s="362"/>
      <c r="Z24" s="362"/>
      <c r="AA24" s="364"/>
      <c r="AN24" s="97" t="s">
        <v>87</v>
      </c>
      <c r="AO24" s="37" t="s">
        <v>85</v>
      </c>
    </row>
    <row r="25" spans="2:41" s="37" customFormat="1" ht="21.95" customHeight="1">
      <c r="C25" s="41"/>
      <c r="D25" s="41"/>
      <c r="E25" s="41"/>
      <c r="F25" s="41"/>
      <c r="G25" s="41"/>
      <c r="H25" s="41"/>
      <c r="I25" s="41"/>
      <c r="J25" s="433"/>
      <c r="K25" s="487"/>
      <c r="L25" s="487"/>
      <c r="M25" s="446"/>
      <c r="N25" s="435"/>
      <c r="O25" s="436"/>
      <c r="P25" s="436"/>
      <c r="Q25" s="437"/>
      <c r="R25" s="392"/>
      <c r="S25" s="392"/>
      <c r="T25" s="485"/>
      <c r="U25" s="485"/>
      <c r="V25" s="368" t="str">
        <f>IF(N25="","",N25*P25*R25*0.034*$V$4)</f>
        <v/>
      </c>
      <c r="W25" s="368"/>
      <c r="X25" s="368" t="str">
        <f>IF(N25="","",IF(ISERROR(N25*P25*R25*0.034*$X$4),"-",N25*P25*R25*0.034*$X$4))</f>
        <v/>
      </c>
      <c r="Y25" s="368"/>
      <c r="Z25" s="368" t="str">
        <f>IF(N25="","",N25*P25*AN25)</f>
        <v/>
      </c>
      <c r="AA25" s="369"/>
      <c r="AN25" s="37">
        <f>IF(共通条件・結果!$AA$7="８地域",R25,IF(AO25="FALSE",R25,IF(T25="風除室",1/((1/R25)+0.1),0.5*R25+0.5*(1/((1/R25)+AO25)))))</f>
        <v>0</v>
      </c>
      <c r="AO25" s="39" t="str">
        <f>IF(T25="","FALSE",IF(T25="雨戸",0.1,IF(T25="ｼｬｯﾀｰ",0.1,IF(T25="障子",0.18,IF(T25="風除室",0.1)))))</f>
        <v>FALSE</v>
      </c>
    </row>
    <row r="26" spans="2:41" s="37" customFormat="1" ht="21.95" customHeight="1">
      <c r="C26" s="41"/>
      <c r="D26" s="41"/>
      <c r="E26" s="41"/>
      <c r="F26" s="41"/>
      <c r="G26" s="41"/>
      <c r="H26" s="41"/>
      <c r="I26" s="41"/>
      <c r="J26" s="419"/>
      <c r="K26" s="494"/>
      <c r="L26" s="494"/>
      <c r="M26" s="445"/>
      <c r="N26" s="488"/>
      <c r="O26" s="492"/>
      <c r="P26" s="493"/>
      <c r="Q26" s="489"/>
      <c r="R26" s="488"/>
      <c r="S26" s="489"/>
      <c r="T26" s="495"/>
      <c r="U26" s="496"/>
      <c r="V26" s="356" t="str">
        <f>IF(N26="","",N26*P26*R26*0.034*$V$4)</f>
        <v/>
      </c>
      <c r="W26" s="357"/>
      <c r="X26" s="356" t="str">
        <f>IF(N26="","",IF(ISERROR(N26*P26*R26*0.034*$X$4),"-",N26*P26*R26*0.034*$X$4))</f>
        <v/>
      </c>
      <c r="Y26" s="357"/>
      <c r="Z26" s="356" t="str">
        <f>IF(N26="","",N26*P26*AN26)</f>
        <v/>
      </c>
      <c r="AA26" s="375"/>
      <c r="AN26" s="37">
        <f>IF(共通条件・結果!$AA$7="８地域",R26,IF(AO26="FALSE",R26,IF(T26="風除室",1/((1/R26)+0.1),0.5*R26+0.5*(1/((1/R26)+AO26)))))</f>
        <v>0</v>
      </c>
      <c r="AO26" s="95" t="str">
        <f>IF(T26="","FALSE",IF(T26="雨戸",0.1,IF(T26="ｼｬｯﾀｰ",0.1,IF(T26="障子",0.18,IF(T26="風除室",0.1)))))</f>
        <v>FALSE</v>
      </c>
    </row>
    <row r="27" spans="2:41" s="37" customFormat="1" ht="21.95" customHeight="1" thickBot="1">
      <c r="C27" s="41"/>
      <c r="D27" s="41"/>
      <c r="E27" s="41"/>
      <c r="F27" s="41"/>
      <c r="G27" s="41"/>
      <c r="H27" s="41"/>
      <c r="I27" s="41"/>
      <c r="J27" s="350"/>
      <c r="K27" s="464"/>
      <c r="L27" s="464"/>
      <c r="M27" s="351"/>
      <c r="N27" s="394"/>
      <c r="O27" s="395"/>
      <c r="P27" s="395"/>
      <c r="Q27" s="396"/>
      <c r="R27" s="397"/>
      <c r="S27" s="397"/>
      <c r="T27" s="398" t="s">
        <v>65</v>
      </c>
      <c r="U27" s="398"/>
      <c r="V27" s="399" t="str">
        <f>IF(N27="","",N27*P27*R27*0.034*$V$4)</f>
        <v/>
      </c>
      <c r="W27" s="399"/>
      <c r="X27" s="399" t="str">
        <f>IF(N27="","",IF(ISERROR(N27*P27*R27*0.034*$X$4),"-",N27*P27*R27*0.034*$X$4))</f>
        <v/>
      </c>
      <c r="Y27" s="399"/>
      <c r="Z27" s="399" t="str">
        <f>IF(N27="","",N27*P27*AN27)</f>
        <v/>
      </c>
      <c r="AA27" s="400"/>
      <c r="AN27" s="37" t="e">
        <f>IF(共通条件・結果!$AA$7="８地域",R27,IF(AO27="FALSE",R27,IF(T27="風除室",1/((1/R27)+0.1),0.5*R27+0.5*(1/((1/R27)+AO27)))))</f>
        <v>#DIV/0!</v>
      </c>
      <c r="AO27" s="39" t="b">
        <f>IF(T27="","FALSE",IF(T27="雨戸",0.1,IF(T27="ｼｬｯﾀｰ",0.1,IF(T27="障子",0.18,IF(T27="風除室",0.1)))))</f>
        <v>0</v>
      </c>
    </row>
    <row r="28" spans="2:41" s="37" customFormat="1" ht="21.95" customHeight="1" thickBot="1">
      <c r="C28" s="41"/>
      <c r="D28" s="41"/>
      <c r="E28" s="41"/>
      <c r="F28" s="41"/>
      <c r="G28" s="41"/>
      <c r="H28" s="41"/>
      <c r="I28" s="41"/>
      <c r="J28" s="408" t="s">
        <v>143</v>
      </c>
      <c r="K28" s="409"/>
      <c r="L28" s="409"/>
      <c r="M28" s="409"/>
      <c r="N28" s="409"/>
      <c r="O28" s="409"/>
      <c r="P28" s="409"/>
      <c r="Q28" s="409"/>
      <c r="R28" s="409"/>
      <c r="S28" s="409"/>
      <c r="T28" s="409"/>
      <c r="U28" s="468"/>
      <c r="V28" s="344">
        <f>SUM(V25:W27)</f>
        <v>0</v>
      </c>
      <c r="W28" s="344"/>
      <c r="X28" s="344">
        <f>SUM(X25:Y27)</f>
        <v>0</v>
      </c>
      <c r="Y28" s="344"/>
      <c r="Z28" s="344">
        <f>SUM(Z25:AA27)</f>
        <v>0</v>
      </c>
      <c r="AA28" s="345"/>
      <c r="AO28" s="39"/>
    </row>
    <row r="29" spans="2:41" s="37" customFormat="1" ht="9.9499999999999993" customHeight="1">
      <c r="C29" s="41"/>
      <c r="D29" s="41"/>
      <c r="E29" s="41"/>
      <c r="F29" s="41"/>
      <c r="G29" s="41"/>
      <c r="H29" s="41"/>
      <c r="I29" s="41"/>
      <c r="J29" s="41"/>
      <c r="AO29" s="39"/>
    </row>
    <row r="30" spans="2:41" s="37" customFormat="1" ht="21.95" customHeight="1" thickBot="1">
      <c r="C30" s="41"/>
      <c r="D30" s="41"/>
      <c r="E30" s="41"/>
      <c r="F30" s="41"/>
      <c r="G30" s="41"/>
      <c r="H30" s="41"/>
      <c r="I30" s="41"/>
      <c r="J30" s="38" t="s">
        <v>17</v>
      </c>
      <c r="K30" s="38"/>
      <c r="L30" s="38"/>
      <c r="AO30" s="39"/>
    </row>
    <row r="31" spans="2:41" s="37" customFormat="1" ht="21.95" customHeight="1">
      <c r="C31" s="41"/>
      <c r="D31" s="41"/>
      <c r="E31" s="41"/>
      <c r="F31" s="41"/>
      <c r="G31" s="41"/>
      <c r="H31" s="41"/>
      <c r="I31" s="41"/>
      <c r="J31" s="465" t="s">
        <v>0</v>
      </c>
      <c r="K31" s="466"/>
      <c r="L31" s="376" t="s">
        <v>53</v>
      </c>
      <c r="M31" s="377"/>
      <c r="N31" s="376" t="s">
        <v>170</v>
      </c>
      <c r="O31" s="377"/>
      <c r="P31" s="380" t="s">
        <v>54</v>
      </c>
      <c r="Q31" s="381"/>
      <c r="R31" s="361" t="s">
        <v>7</v>
      </c>
      <c r="S31" s="361"/>
      <c r="T31" s="384" t="s">
        <v>150</v>
      </c>
      <c r="U31" s="385"/>
      <c r="V31" s="360" t="s">
        <v>68</v>
      </c>
      <c r="W31" s="361"/>
      <c r="X31" s="360" t="s">
        <v>67</v>
      </c>
      <c r="Y31" s="361"/>
      <c r="Z31" s="361" t="s">
        <v>13</v>
      </c>
      <c r="AA31" s="363"/>
      <c r="AO31" s="39"/>
    </row>
    <row r="32" spans="2:41" s="37" customFormat="1" ht="21.95" customHeight="1" thickBot="1">
      <c r="C32" s="41"/>
      <c r="D32" s="41"/>
      <c r="E32" s="41"/>
      <c r="F32" s="41"/>
      <c r="G32" s="41"/>
      <c r="H32" s="41"/>
      <c r="I32" s="41"/>
      <c r="J32" s="467"/>
      <c r="K32" s="438"/>
      <c r="L32" s="378"/>
      <c r="M32" s="379"/>
      <c r="N32" s="378"/>
      <c r="O32" s="379"/>
      <c r="P32" s="382"/>
      <c r="Q32" s="383"/>
      <c r="R32" s="362"/>
      <c r="S32" s="362"/>
      <c r="T32" s="386"/>
      <c r="U32" s="387"/>
      <c r="V32" s="362"/>
      <c r="W32" s="362"/>
      <c r="X32" s="362"/>
      <c r="Y32" s="362"/>
      <c r="Z32" s="362"/>
      <c r="AA32" s="364"/>
      <c r="AE32" s="37" t="s">
        <v>140</v>
      </c>
      <c r="AF32" s="37" t="s">
        <v>141</v>
      </c>
    </row>
    <row r="33" spans="2:32" s="37" customFormat="1" ht="21.95" customHeight="1">
      <c r="C33" s="41"/>
      <c r="D33" s="41"/>
      <c r="E33" s="41"/>
      <c r="F33" s="41"/>
      <c r="G33" s="41"/>
      <c r="H33" s="41"/>
      <c r="I33" s="41"/>
      <c r="J33" s="433" t="s">
        <v>1</v>
      </c>
      <c r="K33" s="446"/>
      <c r="L33" s="388">
        <v>0</v>
      </c>
      <c r="M33" s="389"/>
      <c r="N33" s="388">
        <f>Q41+U41</f>
        <v>0</v>
      </c>
      <c r="O33" s="389"/>
      <c r="P33" s="390">
        <f>IF(L33="","",L33-N33)</f>
        <v>0</v>
      </c>
      <c r="Q33" s="391"/>
      <c r="R33" s="392">
        <f>ROUND((IF(L33="","",部位U計算!$F$52)),3)</f>
        <v>0.49</v>
      </c>
      <c r="S33" s="392"/>
      <c r="T33" s="393"/>
      <c r="U33" s="393"/>
      <c r="V33" s="368">
        <f>IF(P33="","",IF(AD33=TRUE,0,P33*R33*0.034*$V$4))</f>
        <v>0</v>
      </c>
      <c r="W33" s="368"/>
      <c r="X33" s="500">
        <f>IF(P33="","",IF(ISERROR(P33*R33*0.034*$X$4),"-",IF(AD33=TRUE,0,P33*R33*0.034*$X$4)))</f>
        <v>0</v>
      </c>
      <c r="Y33" s="501"/>
      <c r="Z33" s="368">
        <f>IF(R33="","",IF(AD33=TRUE,0.7*R33*P33,R33*P33))</f>
        <v>0</v>
      </c>
      <c r="AA33" s="369"/>
      <c r="AD33" s="40" t="b">
        <v>0</v>
      </c>
      <c r="AE33" s="40">
        <f>IF(AD33=TRUE,0.7,1)</f>
        <v>1</v>
      </c>
      <c r="AF33" s="40" t="str">
        <f>IF(AD33=TRUE,0,"セル")</f>
        <v>セル</v>
      </c>
    </row>
    <row r="34" spans="2:32" s="37" customFormat="1" ht="21.95" customHeight="1">
      <c r="C34" s="41"/>
      <c r="D34" s="41"/>
      <c r="E34" s="41"/>
      <c r="F34" s="41"/>
      <c r="G34" s="41"/>
      <c r="H34" s="41"/>
      <c r="I34" s="41"/>
      <c r="J34" s="419" t="s">
        <v>387</v>
      </c>
      <c r="K34" s="445"/>
      <c r="L34" s="488">
        <v>0</v>
      </c>
      <c r="M34" s="489"/>
      <c r="N34" s="488"/>
      <c r="O34" s="489"/>
      <c r="P34" s="490">
        <f t="shared" ref="P34:P35" si="20">IF(L34="","",L34-N34)</f>
        <v>0</v>
      </c>
      <c r="Q34" s="491"/>
      <c r="R34" s="488">
        <f>ROUND(IF(L34="","",部位U計算!$F$100),2)</f>
        <v>0.49</v>
      </c>
      <c r="S34" s="489"/>
      <c r="T34" s="498"/>
      <c r="U34" s="499"/>
      <c r="V34" s="356">
        <f t="shared" ref="V34:V35" si="21">IF(P34="","",IF(AD34=TRUE,0,P34*R34*0.034*$V$4))</f>
        <v>0</v>
      </c>
      <c r="W34" s="357"/>
      <c r="X34" s="356">
        <f t="shared" ref="X34:X35" si="22">IF(P34="","",IF(ISERROR(P34*R34*0.034*$X$4),"-",IF(AD34=TRUE,0,P34*R34*0.034*$X$4)))</f>
        <v>0</v>
      </c>
      <c r="Y34" s="357"/>
      <c r="Z34" s="356">
        <f t="shared" ref="Z34:Z35" si="23">IF(R34="","",IF(AD34=TRUE,0.7*R34*P34,R34*P34))</f>
        <v>0</v>
      </c>
      <c r="AA34" s="375"/>
      <c r="AD34" s="40" t="b">
        <v>0</v>
      </c>
      <c r="AE34" s="40">
        <f t="shared" ref="AE34:AE35" si="24">IF(AD34=TRUE,0.7,1)</f>
        <v>1</v>
      </c>
      <c r="AF34" s="40" t="str">
        <f t="shared" ref="AF34:AF35" si="25">IF(AD34=TRUE,0,"セル")</f>
        <v>セル</v>
      </c>
    </row>
    <row r="35" spans="2:32" s="37" customFormat="1" ht="21.95" customHeight="1">
      <c r="C35" s="41"/>
      <c r="D35" s="41"/>
      <c r="E35" s="41"/>
      <c r="F35" s="41"/>
      <c r="G35" s="41"/>
      <c r="H35" s="41"/>
      <c r="I35" s="41"/>
      <c r="J35" s="419" t="s">
        <v>387</v>
      </c>
      <c r="K35" s="445"/>
      <c r="L35" s="488">
        <v>0</v>
      </c>
      <c r="M35" s="489"/>
      <c r="N35" s="488"/>
      <c r="O35" s="489"/>
      <c r="P35" s="490">
        <f t="shared" si="20"/>
        <v>0</v>
      </c>
      <c r="Q35" s="491"/>
      <c r="R35" s="488">
        <f>ROUND(IF(L35="","",部位U計算!$F$114),2)</f>
        <v>1.18</v>
      </c>
      <c r="S35" s="489"/>
      <c r="T35" s="498"/>
      <c r="U35" s="499"/>
      <c r="V35" s="356">
        <f t="shared" si="21"/>
        <v>0</v>
      </c>
      <c r="W35" s="357"/>
      <c r="X35" s="356">
        <f t="shared" si="22"/>
        <v>0</v>
      </c>
      <c r="Y35" s="357"/>
      <c r="Z35" s="356">
        <f t="shared" si="23"/>
        <v>0</v>
      </c>
      <c r="AA35" s="375"/>
      <c r="AD35" s="40" t="b">
        <v>1</v>
      </c>
      <c r="AE35" s="40">
        <f t="shared" si="24"/>
        <v>0.7</v>
      </c>
      <c r="AF35" s="40">
        <f t="shared" si="25"/>
        <v>0</v>
      </c>
    </row>
    <row r="36" spans="2:32" s="37" customFormat="1" ht="21.95" customHeight="1">
      <c r="C36" s="41"/>
      <c r="D36" s="41"/>
      <c r="E36" s="41"/>
      <c r="F36" s="41"/>
      <c r="G36" s="41"/>
      <c r="H36" s="41"/>
      <c r="I36" s="41"/>
      <c r="J36" s="419" t="s">
        <v>388</v>
      </c>
      <c r="K36" s="445"/>
      <c r="L36" s="488">
        <v>0</v>
      </c>
      <c r="M36" s="489"/>
      <c r="N36" s="488"/>
      <c r="O36" s="489"/>
      <c r="P36" s="490">
        <f>IF(L36="","",L36-N36)</f>
        <v>0</v>
      </c>
      <c r="Q36" s="491"/>
      <c r="R36" s="370">
        <f>ROUND(IF(L36="","",部位U計算!$F$128),2)</f>
        <v>0.49</v>
      </c>
      <c r="S36" s="370"/>
      <c r="T36" s="371"/>
      <c r="U36" s="371"/>
      <c r="V36" s="358">
        <f>IF(P36="","",IF(AD36=TRUE,0,P36*R36*0.034*$V$4))</f>
        <v>0</v>
      </c>
      <c r="W36" s="358"/>
      <c r="X36" s="356">
        <f>IF(P36="","",IF(ISERROR(P36*R36*0.034*$X$4),"-",IF(AD36=TRUE,0,P36*R36*0.034*$X$4)))</f>
        <v>0</v>
      </c>
      <c r="Y36" s="357"/>
      <c r="Z36" s="358">
        <f>IF(R36="","",IF(AD36=TRUE,0.7*R36*P36,R36*P36))</f>
        <v>0</v>
      </c>
      <c r="AA36" s="359"/>
      <c r="AD36" s="40" t="b">
        <v>0</v>
      </c>
      <c r="AE36" s="40">
        <f>IF(AD36=TRUE,0.7,1)</f>
        <v>1</v>
      </c>
      <c r="AF36" s="40" t="str">
        <f>IF(AD36=TRUE,0,"セル")</f>
        <v>セル</v>
      </c>
    </row>
    <row r="37" spans="2:32" s="37" customFormat="1" ht="21.95" customHeight="1" thickBot="1">
      <c r="J37" s="350" t="s">
        <v>388</v>
      </c>
      <c r="K37" s="351"/>
      <c r="L37" s="346">
        <v>0</v>
      </c>
      <c r="M37" s="347"/>
      <c r="N37" s="346"/>
      <c r="O37" s="347"/>
      <c r="P37" s="348">
        <f>IF(L37="","",L37-N37)</f>
        <v>0</v>
      </c>
      <c r="Q37" s="349"/>
      <c r="R37" s="365">
        <f>ROUND(IF(L37="","",部位U計算!$F$142),2)</f>
        <v>1.18</v>
      </c>
      <c r="S37" s="365"/>
      <c r="T37" s="366"/>
      <c r="U37" s="366"/>
      <c r="V37" s="367">
        <f>IF(P37="","",IF(AD37=TRUE,0,P37*R37*0.034*$V$4))</f>
        <v>0</v>
      </c>
      <c r="W37" s="367"/>
      <c r="X37" s="372">
        <f>IF(P37="","",IF(ISERROR(P37*R37*0.034*$X$4),"-",IF(AD37=TRUE,0,P37*R37*0.034*$X$4)))</f>
        <v>0</v>
      </c>
      <c r="Y37" s="373"/>
      <c r="Z37" s="367">
        <f>IF(R37="","",IF(AD37=TRUE,0.7*R37*P37,R37*P37))</f>
        <v>0</v>
      </c>
      <c r="AA37" s="374"/>
      <c r="AD37" s="40" t="b">
        <v>1</v>
      </c>
      <c r="AE37" s="40">
        <f>IF(AD37=TRUE,0.7,1)</f>
        <v>0.7</v>
      </c>
      <c r="AF37" s="40">
        <f>IF(AD37=TRUE,0,"セル")</f>
        <v>0</v>
      </c>
    </row>
    <row r="38" spans="2:32" s="37" customFormat="1" ht="21.95" customHeight="1" thickBot="1">
      <c r="J38" s="408" t="s">
        <v>118</v>
      </c>
      <c r="K38" s="409"/>
      <c r="L38" s="409"/>
      <c r="M38" s="409"/>
      <c r="N38" s="409"/>
      <c r="O38" s="409"/>
      <c r="P38" s="409"/>
      <c r="Q38" s="409"/>
      <c r="R38" s="409"/>
      <c r="S38" s="409"/>
      <c r="T38" s="409"/>
      <c r="U38" s="468"/>
      <c r="V38" s="344">
        <f>SUM(V33:W37)</f>
        <v>0</v>
      </c>
      <c r="W38" s="344"/>
      <c r="X38" s="344">
        <f>SUM(X33:Y37)</f>
        <v>0</v>
      </c>
      <c r="Y38" s="344"/>
      <c r="Z38" s="344">
        <f>SUM(Z33:AA37)</f>
        <v>0</v>
      </c>
      <c r="AA38" s="345"/>
    </row>
    <row r="39" spans="2:32" s="37" customFormat="1" ht="9.9499999999999993" customHeight="1"/>
    <row r="40" spans="2:32" s="37" customFormat="1" ht="21.95" customHeight="1" thickBot="1">
      <c r="B40" s="38" t="s">
        <v>117</v>
      </c>
    </row>
    <row r="41" spans="2:32" s="37" customFormat="1" ht="21.95" customHeight="1">
      <c r="B41" s="327" t="s">
        <v>102</v>
      </c>
      <c r="C41" s="328"/>
      <c r="D41" s="333" t="s">
        <v>56</v>
      </c>
      <c r="E41" s="334"/>
      <c r="F41" s="334"/>
      <c r="G41" s="334"/>
      <c r="H41" s="334"/>
      <c r="I41" s="334"/>
      <c r="J41" s="335"/>
      <c r="K41" s="42"/>
      <c r="L41" s="336">
        <f>Q41+U41+Y41</f>
        <v>0</v>
      </c>
      <c r="M41" s="336"/>
      <c r="N41" s="336"/>
      <c r="O41" s="42" t="s">
        <v>24</v>
      </c>
      <c r="P41" s="43" t="s">
        <v>23</v>
      </c>
      <c r="Q41" s="337">
        <f>D8*F8+D9*F9+D10*F10+D11*F11+D12*F12+D13*F13+D14*F14+D15*F15+D16*F16+D17*F17+D18*F18+D19*F19</f>
        <v>0</v>
      </c>
      <c r="R41" s="337"/>
      <c r="S41" s="44" t="s">
        <v>25</v>
      </c>
      <c r="T41" s="44" t="s">
        <v>22</v>
      </c>
      <c r="U41" s="338">
        <f>N25*P25+N26*P26+N27*P27</f>
        <v>0</v>
      </c>
      <c r="V41" s="338"/>
      <c r="W41" s="44" t="s">
        <v>25</v>
      </c>
      <c r="X41" s="44" t="s">
        <v>1</v>
      </c>
      <c r="Y41" s="339">
        <f>SUM(P33:Q37)</f>
        <v>0</v>
      </c>
      <c r="Z41" s="339"/>
      <c r="AA41" s="45" t="s">
        <v>19</v>
      </c>
    </row>
    <row r="42" spans="2:32" s="37" customFormat="1" ht="21.95" customHeight="1">
      <c r="B42" s="329"/>
      <c r="C42" s="330"/>
      <c r="D42" s="340" t="s">
        <v>72</v>
      </c>
      <c r="E42" s="341"/>
      <c r="F42" s="341"/>
      <c r="G42" s="341"/>
      <c r="H42" s="341"/>
      <c r="I42" s="341"/>
      <c r="J42" s="342"/>
      <c r="K42" s="46"/>
      <c r="L42" s="46"/>
      <c r="M42" s="46"/>
      <c r="N42" s="46"/>
      <c r="O42" s="46"/>
      <c r="P42" s="46"/>
      <c r="Q42" s="46"/>
      <c r="R42" s="46"/>
      <c r="S42" s="46"/>
      <c r="T42" s="46"/>
      <c r="U42" s="46"/>
      <c r="V42" s="46"/>
      <c r="W42" s="343">
        <f>V20+V28+V38</f>
        <v>0</v>
      </c>
      <c r="X42" s="343"/>
      <c r="Y42" s="343"/>
      <c r="Z42" s="46"/>
      <c r="AA42" s="47"/>
    </row>
    <row r="43" spans="2:32" s="37" customFormat="1" ht="21.95" customHeight="1">
      <c r="B43" s="329"/>
      <c r="C43" s="330"/>
      <c r="D43" s="340" t="s">
        <v>73</v>
      </c>
      <c r="E43" s="341"/>
      <c r="F43" s="341"/>
      <c r="G43" s="341"/>
      <c r="H43" s="341"/>
      <c r="I43" s="341"/>
      <c r="J43" s="342"/>
      <c r="K43" s="46"/>
      <c r="L43" s="46"/>
      <c r="M43" s="46"/>
      <c r="N43" s="46"/>
      <c r="O43" s="46"/>
      <c r="P43" s="46"/>
      <c r="Q43" s="46"/>
      <c r="R43" s="46"/>
      <c r="S43" s="46"/>
      <c r="T43" s="46"/>
      <c r="U43" s="46"/>
      <c r="V43" s="46"/>
      <c r="W43" s="343">
        <f>X20+X28+X38</f>
        <v>0</v>
      </c>
      <c r="X43" s="343"/>
      <c r="Y43" s="343"/>
      <c r="Z43" s="46"/>
      <c r="AA43" s="47"/>
    </row>
    <row r="44" spans="2:32" s="37" customFormat="1" ht="21.95" customHeight="1" thickBot="1">
      <c r="B44" s="331"/>
      <c r="C44" s="332"/>
      <c r="D44" s="352" t="s">
        <v>20</v>
      </c>
      <c r="E44" s="353"/>
      <c r="F44" s="353"/>
      <c r="G44" s="353"/>
      <c r="H44" s="353"/>
      <c r="I44" s="353"/>
      <c r="J44" s="354"/>
      <c r="K44" s="48"/>
      <c r="L44" s="48"/>
      <c r="M44" s="48"/>
      <c r="N44" s="48"/>
      <c r="O44" s="48"/>
      <c r="P44" s="48"/>
      <c r="Q44" s="48"/>
      <c r="R44" s="48"/>
      <c r="S44" s="48"/>
      <c r="T44" s="48"/>
      <c r="U44" s="48"/>
      <c r="V44" s="48"/>
      <c r="W44" s="355">
        <f>Z20+Z28+Z38</f>
        <v>0</v>
      </c>
      <c r="X44" s="355"/>
      <c r="Y44" s="355"/>
      <c r="Z44" s="49" t="s">
        <v>21</v>
      </c>
      <c r="AA44" s="50"/>
    </row>
    <row r="45" spans="2:32" s="37" customFormat="1" ht="21.95" customHeight="1"/>
    <row r="46" spans="2:32" s="37" customFormat="1" ht="21.95" customHeight="1"/>
    <row r="47" spans="2:32" s="37" customFormat="1" ht="21.95" customHeight="1"/>
    <row r="48" spans="2:32" s="37" customFormat="1" ht="21.95" customHeight="1"/>
    <row r="49" s="37" customFormat="1" ht="21.95" customHeight="1"/>
    <row r="50" s="37" customFormat="1" ht="21.95" customHeight="1"/>
    <row r="51" s="37" customFormat="1" ht="21.95" customHeight="1"/>
    <row r="52" s="37" customFormat="1" ht="21.95" customHeight="1"/>
    <row r="53" s="37" customFormat="1" ht="21.95" customHeight="1"/>
    <row r="54" s="37" customFormat="1" ht="21.95" customHeight="1"/>
    <row r="55" s="37" customFormat="1" ht="21.95" customHeight="1"/>
    <row r="56" s="37" customFormat="1" ht="21.95" customHeight="1"/>
    <row r="57" s="37" customFormat="1" ht="21.95" customHeight="1"/>
    <row r="58" s="37" customFormat="1" ht="21.95" customHeight="1"/>
    <row r="59" s="37" customFormat="1" ht="21.95" customHeight="1"/>
    <row r="60" s="37" customFormat="1" ht="21.95" customHeight="1"/>
    <row r="61" s="37" customFormat="1" ht="24.95" customHeight="1"/>
    <row r="62" s="37" customFormat="1" ht="24.95" customHeight="1"/>
    <row r="63" s="37" customFormat="1" ht="24.95" customHeight="1"/>
    <row r="64" s="37" customFormat="1" ht="24.95" customHeight="1"/>
    <row r="65" s="37" customFormat="1" ht="24.95" customHeight="1"/>
    <row r="66" s="37" customFormat="1" ht="24.95" customHeight="1"/>
    <row r="67" s="37" customFormat="1" ht="24.95" customHeight="1"/>
    <row r="68" s="37" customFormat="1" ht="24.95" customHeight="1"/>
    <row r="69" s="37" customFormat="1" ht="24.95" customHeight="1"/>
    <row r="70" s="37" customFormat="1" ht="24.95" customHeight="1"/>
    <row r="71" s="37" customFormat="1" ht="24.95" customHeight="1"/>
    <row r="72" s="37" customFormat="1" ht="24.95" customHeight="1"/>
    <row r="73" s="37" customFormat="1" ht="24.95" customHeight="1"/>
    <row r="74" s="37" customFormat="1" ht="24.95" customHeight="1"/>
    <row r="75" s="37" customFormat="1" ht="24.95" customHeight="1"/>
    <row r="76" s="37" customFormat="1" ht="24.95" customHeight="1"/>
    <row r="77" s="37" customFormat="1" ht="24.95" customHeight="1"/>
    <row r="78" s="37" customFormat="1" ht="24.95" customHeight="1"/>
    <row r="79" s="37" customFormat="1" ht="24.95" customHeight="1"/>
    <row r="80" s="37" customFormat="1" ht="24.95" customHeight="1"/>
    <row r="81" s="37" customFormat="1" ht="24.95" customHeight="1"/>
    <row r="82" s="37" customFormat="1" ht="24.95" customHeight="1"/>
    <row r="83" s="37" customFormat="1" ht="24.95" customHeight="1"/>
    <row r="84" s="37" customFormat="1" ht="24.95" customHeight="1"/>
    <row r="85" s="37" customFormat="1" ht="24.95" customHeight="1"/>
    <row r="86" s="37" customFormat="1" ht="24.95" customHeight="1"/>
    <row r="87" s="37" customFormat="1" ht="24.95" customHeight="1"/>
    <row r="88" s="37" customFormat="1" ht="24.95" customHeight="1"/>
    <row r="89" s="37" customFormat="1" ht="24.95" customHeight="1"/>
    <row r="90" s="37" customFormat="1" ht="24.95" customHeight="1"/>
    <row r="91" s="37" customFormat="1" ht="24.95" customHeight="1"/>
    <row r="92" s="37" customFormat="1" ht="24.95" customHeight="1"/>
    <row r="93" s="37" customFormat="1" ht="24.95" customHeight="1"/>
    <row r="94" s="51" customFormat="1" ht="24.95" customHeight="1"/>
    <row r="95" s="51" customFormat="1"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sheetData>
  <sheetProtection algorithmName="SHA-512" hashValue="TAbIV07w8jgWQtYKms++Fv634Qk4+ittq1iQ0UuVDjlVcPwaUE21loTRu1a4DuXQhGKk8Nl+j+XUm5F/tymtLA==" saltValue="xz6YEcroW+JnMPtUMEXm2w==" spinCount="100000" sheet="1" objects="1" scenarios="1" selectLockedCells="1"/>
  <mergeCells count="293">
    <mergeCell ref="L34:M34"/>
    <mergeCell ref="L35:M35"/>
    <mergeCell ref="N34:O34"/>
    <mergeCell ref="N35:O35"/>
    <mergeCell ref="P34:Q34"/>
    <mergeCell ref="P35:Q35"/>
    <mergeCell ref="J27:M27"/>
    <mergeCell ref="J31:K32"/>
    <mergeCell ref="J28:U28"/>
    <mergeCell ref="N27:O27"/>
    <mergeCell ref="P27:Q27"/>
    <mergeCell ref="R27:S27"/>
    <mergeCell ref="T27:U27"/>
    <mergeCell ref="L33:M33"/>
    <mergeCell ref="N33:O33"/>
    <mergeCell ref="P33:Q33"/>
    <mergeCell ref="L31:M32"/>
    <mergeCell ref="N31:O32"/>
    <mergeCell ref="P31:Q32"/>
    <mergeCell ref="R31:S32"/>
    <mergeCell ref="T31:U32"/>
    <mergeCell ref="R33:S33"/>
    <mergeCell ref="T33:U33"/>
    <mergeCell ref="Z12:AA12"/>
    <mergeCell ref="J26:M26"/>
    <mergeCell ref="N26:O26"/>
    <mergeCell ref="P26:Q26"/>
    <mergeCell ref="R26:S26"/>
    <mergeCell ref="T26:U26"/>
    <mergeCell ref="N12:O12"/>
    <mergeCell ref="N13:O13"/>
    <mergeCell ref="L14:M14"/>
    <mergeCell ref="N14:O14"/>
    <mergeCell ref="P14:Q14"/>
    <mergeCell ref="R14:S14"/>
    <mergeCell ref="N16:O16"/>
    <mergeCell ref="P16:Q16"/>
    <mergeCell ref="R16:S16"/>
    <mergeCell ref="T15:U15"/>
    <mergeCell ref="B20:U20"/>
    <mergeCell ref="L19:M19"/>
    <mergeCell ref="N19:O19"/>
    <mergeCell ref="P19:Q19"/>
    <mergeCell ref="R19:S19"/>
    <mergeCell ref="B19:C19"/>
    <mergeCell ref="D19:E19"/>
    <mergeCell ref="F19:G19"/>
    <mergeCell ref="B12:C12"/>
    <mergeCell ref="B13:C13"/>
    <mergeCell ref="D12:E12"/>
    <mergeCell ref="D13:E13"/>
    <mergeCell ref="F12:G12"/>
    <mergeCell ref="F13:G13"/>
    <mergeCell ref="H12:I12"/>
    <mergeCell ref="H13:I13"/>
    <mergeCell ref="J12:K12"/>
    <mergeCell ref="J13:K13"/>
    <mergeCell ref="Z13:AA13"/>
    <mergeCell ref="V26:W26"/>
    <mergeCell ref="X26:Y26"/>
    <mergeCell ref="Z26:AA26"/>
    <mergeCell ref="V14:W14"/>
    <mergeCell ref="X14:Y14"/>
    <mergeCell ref="Z14:AA14"/>
    <mergeCell ref="X19:Y19"/>
    <mergeCell ref="Z19:AA19"/>
    <mergeCell ref="V20:W20"/>
    <mergeCell ref="X20:Y20"/>
    <mergeCell ref="Z20:AA20"/>
    <mergeCell ref="V25:W25"/>
    <mergeCell ref="X25:Y25"/>
    <mergeCell ref="Z25:AA25"/>
    <mergeCell ref="V15:W15"/>
    <mergeCell ref="X15:Y15"/>
    <mergeCell ref="Z15:AA15"/>
    <mergeCell ref="V19:W19"/>
    <mergeCell ref="V13:W13"/>
    <mergeCell ref="L36:M36"/>
    <mergeCell ref="N36:O36"/>
    <mergeCell ref="P36:Q36"/>
    <mergeCell ref="J36:K36"/>
    <mergeCell ref="J33:K33"/>
    <mergeCell ref="R10:S10"/>
    <mergeCell ref="T9:U9"/>
    <mergeCell ref="D16:E16"/>
    <mergeCell ref="X13:Y13"/>
    <mergeCell ref="L12:M12"/>
    <mergeCell ref="L13:M13"/>
    <mergeCell ref="P12:Q12"/>
    <mergeCell ref="P13:Q13"/>
    <mergeCell ref="R12:S12"/>
    <mergeCell ref="R13:S13"/>
    <mergeCell ref="T12:U12"/>
    <mergeCell ref="T13:U13"/>
    <mergeCell ref="V12:W12"/>
    <mergeCell ref="X12:Y12"/>
    <mergeCell ref="R34:S34"/>
    <mergeCell ref="R35:S35"/>
    <mergeCell ref="H19:I19"/>
    <mergeCell ref="J34:K34"/>
    <mergeCell ref="J35:K35"/>
    <mergeCell ref="P8:Q8"/>
    <mergeCell ref="T10:U10"/>
    <mergeCell ref="T14:U14"/>
    <mergeCell ref="T16:U16"/>
    <mergeCell ref="N25:O25"/>
    <mergeCell ref="P25:Q25"/>
    <mergeCell ref="R25:S25"/>
    <mergeCell ref="T25:U25"/>
    <mergeCell ref="J23:M24"/>
    <mergeCell ref="J25:M25"/>
    <mergeCell ref="J19:K19"/>
    <mergeCell ref="T19:U19"/>
    <mergeCell ref="B2:AA2"/>
    <mergeCell ref="R4:U4"/>
    <mergeCell ref="V4:W4"/>
    <mergeCell ref="X4:Y4"/>
    <mergeCell ref="B5:C7"/>
    <mergeCell ref="D5:G5"/>
    <mergeCell ref="H5:I7"/>
    <mergeCell ref="J5:K7"/>
    <mergeCell ref="L5:M7"/>
    <mergeCell ref="N5:U5"/>
    <mergeCell ref="D6:E7"/>
    <mergeCell ref="F6:G7"/>
    <mergeCell ref="N6:O7"/>
    <mergeCell ref="P6:U6"/>
    <mergeCell ref="AD6:AE6"/>
    <mergeCell ref="AH6:AI6"/>
    <mergeCell ref="AK6:AL6"/>
    <mergeCell ref="AN6:AO6"/>
    <mergeCell ref="P7:Q7"/>
    <mergeCell ref="R7:S7"/>
    <mergeCell ref="T7:U7"/>
    <mergeCell ref="V5:W7"/>
    <mergeCell ref="X5:Y7"/>
    <mergeCell ref="Z5:AA7"/>
    <mergeCell ref="V9:W9"/>
    <mergeCell ref="X9:Y9"/>
    <mergeCell ref="Z9:AA9"/>
    <mergeCell ref="B8:C8"/>
    <mergeCell ref="D8:E8"/>
    <mergeCell ref="F8:G8"/>
    <mergeCell ref="H8:I8"/>
    <mergeCell ref="J8:K8"/>
    <mergeCell ref="L8:M8"/>
    <mergeCell ref="R8:S8"/>
    <mergeCell ref="T8:U8"/>
    <mergeCell ref="B9:C9"/>
    <mergeCell ref="D9:E9"/>
    <mergeCell ref="F9:G9"/>
    <mergeCell ref="H9:I9"/>
    <mergeCell ref="J9:K9"/>
    <mergeCell ref="L9:M9"/>
    <mergeCell ref="N9:O9"/>
    <mergeCell ref="P9:Q9"/>
    <mergeCell ref="R9:S9"/>
    <mergeCell ref="V8:W8"/>
    <mergeCell ref="X8:Y8"/>
    <mergeCell ref="Z8:AA8"/>
    <mergeCell ref="N8:O8"/>
    <mergeCell ref="V10:W10"/>
    <mergeCell ref="X10:Y10"/>
    <mergeCell ref="Z10:AA10"/>
    <mergeCell ref="B11:C11"/>
    <mergeCell ref="D11:E11"/>
    <mergeCell ref="F11:G11"/>
    <mergeCell ref="H11:I11"/>
    <mergeCell ref="J11:K11"/>
    <mergeCell ref="L11:M11"/>
    <mergeCell ref="N11:O11"/>
    <mergeCell ref="P11:Q11"/>
    <mergeCell ref="R11:S11"/>
    <mergeCell ref="T11:U11"/>
    <mergeCell ref="V11:W11"/>
    <mergeCell ref="X11:Y11"/>
    <mergeCell ref="Z11:AA11"/>
    <mergeCell ref="B10:C10"/>
    <mergeCell ref="D10:E10"/>
    <mergeCell ref="F10:G10"/>
    <mergeCell ref="H10:I10"/>
    <mergeCell ref="J10:K10"/>
    <mergeCell ref="L10:M10"/>
    <mergeCell ref="N10:O10"/>
    <mergeCell ref="P10:Q10"/>
    <mergeCell ref="B15:C15"/>
    <mergeCell ref="D15:E15"/>
    <mergeCell ref="F15:G15"/>
    <mergeCell ref="H15:I15"/>
    <mergeCell ref="J15:K15"/>
    <mergeCell ref="L15:M15"/>
    <mergeCell ref="N15:O15"/>
    <mergeCell ref="P15:Q15"/>
    <mergeCell ref="R15:S15"/>
    <mergeCell ref="B14:C14"/>
    <mergeCell ref="D14:E14"/>
    <mergeCell ref="F14:G14"/>
    <mergeCell ref="H14:I14"/>
    <mergeCell ref="J14:K14"/>
    <mergeCell ref="Z18:AA18"/>
    <mergeCell ref="X18:Y18"/>
    <mergeCell ref="V16:W16"/>
    <mergeCell ref="X16:Y16"/>
    <mergeCell ref="Z16:AA16"/>
    <mergeCell ref="B17:C17"/>
    <mergeCell ref="D17:E17"/>
    <mergeCell ref="F17:G17"/>
    <mergeCell ref="H17:I17"/>
    <mergeCell ref="J17:K17"/>
    <mergeCell ref="L17:M17"/>
    <mergeCell ref="N17:O17"/>
    <mergeCell ref="P17:Q17"/>
    <mergeCell ref="R17:S17"/>
    <mergeCell ref="T17:U17"/>
    <mergeCell ref="V17:W17"/>
    <mergeCell ref="X17:Y17"/>
    <mergeCell ref="Z17:AA17"/>
    <mergeCell ref="B16:C16"/>
    <mergeCell ref="F16:G16"/>
    <mergeCell ref="H16:I16"/>
    <mergeCell ref="J16:K16"/>
    <mergeCell ref="L16:M16"/>
    <mergeCell ref="R18:S18"/>
    <mergeCell ref="T18:U18"/>
    <mergeCell ref="V18:W18"/>
    <mergeCell ref="B18:C18"/>
    <mergeCell ref="D18:E18"/>
    <mergeCell ref="F18:G18"/>
    <mergeCell ref="H18:I18"/>
    <mergeCell ref="J18:K18"/>
    <mergeCell ref="L18:M18"/>
    <mergeCell ref="N18:O18"/>
    <mergeCell ref="P18:Q18"/>
    <mergeCell ref="AN21:AO21"/>
    <mergeCell ref="N23:Q23"/>
    <mergeCell ref="R23:S24"/>
    <mergeCell ref="T23:U24"/>
    <mergeCell ref="V23:W24"/>
    <mergeCell ref="X23:Y24"/>
    <mergeCell ref="Z23:AA24"/>
    <mergeCell ref="AN23:AO23"/>
    <mergeCell ref="N24:O24"/>
    <mergeCell ref="P24:Q24"/>
    <mergeCell ref="V31:W32"/>
    <mergeCell ref="X31:Y32"/>
    <mergeCell ref="Z31:AA32"/>
    <mergeCell ref="X33:Y33"/>
    <mergeCell ref="V27:W27"/>
    <mergeCell ref="X27:Y27"/>
    <mergeCell ref="Z27:AA27"/>
    <mergeCell ref="V28:W28"/>
    <mergeCell ref="X28:Y28"/>
    <mergeCell ref="Z28:AA28"/>
    <mergeCell ref="Z33:AA33"/>
    <mergeCell ref="V33:W33"/>
    <mergeCell ref="R36:S36"/>
    <mergeCell ref="T36:U36"/>
    <mergeCell ref="V36:W36"/>
    <mergeCell ref="X37:Y37"/>
    <mergeCell ref="Z37:AA37"/>
    <mergeCell ref="T34:U34"/>
    <mergeCell ref="T35:U35"/>
    <mergeCell ref="V34:W34"/>
    <mergeCell ref="V35:W35"/>
    <mergeCell ref="X34:Y34"/>
    <mergeCell ref="X35:Y35"/>
    <mergeCell ref="Z34:AA34"/>
    <mergeCell ref="Z35:AA35"/>
    <mergeCell ref="X36:Y36"/>
    <mergeCell ref="Z36:AA36"/>
    <mergeCell ref="V38:W38"/>
    <mergeCell ref="X38:Y38"/>
    <mergeCell ref="Z38:AA38"/>
    <mergeCell ref="L37:M37"/>
    <mergeCell ref="N37:O37"/>
    <mergeCell ref="P37:Q37"/>
    <mergeCell ref="J37:K37"/>
    <mergeCell ref="D44:J44"/>
    <mergeCell ref="W44:Y44"/>
    <mergeCell ref="R37:S37"/>
    <mergeCell ref="T37:U37"/>
    <mergeCell ref="V37:W37"/>
    <mergeCell ref="J38:U38"/>
    <mergeCell ref="B41:C44"/>
    <mergeCell ref="D41:J41"/>
    <mergeCell ref="L41:N41"/>
    <mergeCell ref="Q41:R41"/>
    <mergeCell ref="U41:V41"/>
    <mergeCell ref="Y41:Z41"/>
    <mergeCell ref="D42:J42"/>
    <mergeCell ref="W42:Y42"/>
    <mergeCell ref="D43:J43"/>
    <mergeCell ref="W43:Y43"/>
  </mergeCells>
  <phoneticPr fontId="2"/>
  <conditionalFormatting sqref="V20:W20">
    <cfRule type="expression" dxfId="134" priority="48" stopIfTrue="1">
      <formula>$V$20=0</formula>
    </cfRule>
  </conditionalFormatting>
  <conditionalFormatting sqref="X20:Y20">
    <cfRule type="expression" dxfId="133" priority="47" stopIfTrue="1">
      <formula>$X$20=0</formula>
    </cfRule>
  </conditionalFormatting>
  <conditionalFormatting sqref="Z20:AA20">
    <cfRule type="expression" dxfId="132" priority="46" stopIfTrue="1">
      <formula>$Z$20=0</formula>
    </cfRule>
  </conditionalFormatting>
  <conditionalFormatting sqref="V28:W28">
    <cfRule type="expression" dxfId="131" priority="45" stopIfTrue="1">
      <formula>$V$28:$W$28=0</formula>
    </cfRule>
  </conditionalFormatting>
  <conditionalFormatting sqref="V38:W38">
    <cfRule type="expression" dxfId="130" priority="44" stopIfTrue="1">
      <formula>$V$38:$W$38=0</formula>
    </cfRule>
  </conditionalFormatting>
  <conditionalFormatting sqref="Y41:Z41">
    <cfRule type="expression" dxfId="129" priority="43" stopIfTrue="1">
      <formula>$Y$41=0</formula>
    </cfRule>
  </conditionalFormatting>
  <conditionalFormatting sqref="Q41:R41">
    <cfRule type="expression" dxfId="128" priority="42" stopIfTrue="1">
      <formula>$Q$41=0</formula>
    </cfRule>
  </conditionalFormatting>
  <conditionalFormatting sqref="U41:V41">
    <cfRule type="expression" dxfId="127" priority="41" stopIfTrue="1">
      <formula>$U$41=0</formula>
    </cfRule>
  </conditionalFormatting>
  <conditionalFormatting sqref="L41:N41">
    <cfRule type="expression" dxfId="126" priority="40" stopIfTrue="1">
      <formula>$L$41=0</formula>
    </cfRule>
  </conditionalFormatting>
  <conditionalFormatting sqref="X8:Y8">
    <cfRule type="expression" dxfId="125" priority="38" stopIfTrue="1">
      <formula>#VALUE!</formula>
    </cfRule>
    <cfRule type="expression" dxfId="124" priority="39" stopIfTrue="1">
      <formula>#VALUE!</formula>
    </cfRule>
  </conditionalFormatting>
  <conditionalFormatting sqref="X19:Y19">
    <cfRule type="expression" dxfId="123" priority="37" stopIfTrue="1">
      <formula>#VALUE!</formula>
    </cfRule>
  </conditionalFormatting>
  <conditionalFormatting sqref="X28:Y28">
    <cfRule type="expression" dxfId="122" priority="26" stopIfTrue="1">
      <formula>$X$28:$Y$28=0</formula>
    </cfRule>
  </conditionalFormatting>
  <conditionalFormatting sqref="Z28:AA28">
    <cfRule type="expression" dxfId="121" priority="25" stopIfTrue="1">
      <formula>$Z$28:$AA$28=0</formula>
    </cfRule>
  </conditionalFormatting>
  <conditionalFormatting sqref="X38:Y38">
    <cfRule type="expression" dxfId="120" priority="24" stopIfTrue="1">
      <formula>$X$38:$Y$38=0</formula>
    </cfRule>
  </conditionalFormatting>
  <conditionalFormatting sqref="Z38:AA38">
    <cfRule type="expression" dxfId="119" priority="23" stopIfTrue="1">
      <formula>$Z$38:$AA$38=0</formula>
    </cfRule>
  </conditionalFormatting>
  <conditionalFormatting sqref="P8:U8">
    <cfRule type="expression" dxfId="118" priority="12" stopIfTrue="1">
      <formula>$AG$8=TRUE</formula>
    </cfRule>
  </conditionalFormatting>
  <conditionalFormatting sqref="P15:U15">
    <cfRule type="expression" dxfId="117" priority="11" stopIfTrue="1">
      <formula>$AG$15=TRUE</formula>
    </cfRule>
  </conditionalFormatting>
  <conditionalFormatting sqref="P16:U16">
    <cfRule type="expression" dxfId="116" priority="10" stopIfTrue="1">
      <formula>$AG$16=TRUE</formula>
    </cfRule>
  </conditionalFormatting>
  <conditionalFormatting sqref="P17:U17">
    <cfRule type="expression" dxfId="115" priority="9" stopIfTrue="1">
      <formula>$AG$17=TRUE</formula>
    </cfRule>
  </conditionalFormatting>
  <conditionalFormatting sqref="P18:U18">
    <cfRule type="expression" dxfId="114" priority="8" stopIfTrue="1">
      <formula>$AG$18=TRUE</formula>
    </cfRule>
  </conditionalFormatting>
  <conditionalFormatting sqref="P19:U19">
    <cfRule type="expression" dxfId="113" priority="7" stopIfTrue="1">
      <formula>$AG$19=TRUE</formula>
    </cfRule>
  </conditionalFormatting>
  <conditionalFormatting sqref="P10:U10">
    <cfRule type="expression" dxfId="112" priority="6" stopIfTrue="1">
      <formula>$AG$10=TRUE</formula>
    </cfRule>
  </conditionalFormatting>
  <conditionalFormatting sqref="P11:U11">
    <cfRule type="expression" dxfId="111" priority="5" stopIfTrue="1">
      <formula>$AG$11=TRUE</formula>
    </cfRule>
  </conditionalFormatting>
  <conditionalFormatting sqref="P14:U14">
    <cfRule type="expression" dxfId="110" priority="4" stopIfTrue="1">
      <formula>$AG$14=TRUE</formula>
    </cfRule>
  </conditionalFormatting>
  <conditionalFormatting sqref="P9:U9">
    <cfRule type="expression" dxfId="109" priority="3" stopIfTrue="1">
      <formula>$AG$9=TRUE</formula>
    </cfRule>
  </conditionalFormatting>
  <conditionalFormatting sqref="P12:U12">
    <cfRule type="expression" dxfId="108" priority="2">
      <formula>$AG$12=TRUE</formula>
    </cfRule>
  </conditionalFormatting>
  <conditionalFormatting sqref="P13:U13">
    <cfRule type="expression" dxfId="107" priority="1">
      <formula>$AG$13=TRUE</formula>
    </cfRule>
  </conditionalFormatting>
  <dataValidations count="1">
    <dataValidation type="list" allowBlank="1" showInputMessage="1" showErrorMessage="1" sqref="M14:M19 L8:L19 M8:M11 T25:T27 U25 U27">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88" orientation="portrait" horizontalDpi="300" verticalDpi="300" r:id="rId1"/>
  <headerFooter>
    <oddHeader>&amp;Rver. 1.7[H28]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8305" r:id="rId4" name="Check Box 1">
              <controlPr defaultSize="0" autoFill="0" autoLine="0" autoPict="0">
                <anchor moveWithCells="1">
                  <from>
                    <xdr:col>13</xdr:col>
                    <xdr:colOff>190500</xdr:colOff>
                    <xdr:row>7</xdr:row>
                    <xdr:rowOff>47625</xdr:rowOff>
                  </from>
                  <to>
                    <xdr:col>14</xdr:col>
                    <xdr:colOff>200025</xdr:colOff>
                    <xdr:row>7</xdr:row>
                    <xdr:rowOff>257175</xdr:rowOff>
                  </to>
                </anchor>
              </controlPr>
            </control>
          </mc:Choice>
        </mc:AlternateContent>
        <mc:AlternateContent xmlns:mc="http://schemas.openxmlformats.org/markup-compatibility/2006">
          <mc:Choice Requires="x14">
            <control shapeId="98306" r:id="rId5" name="Check Box 2">
              <controlPr defaultSize="0" autoFill="0" autoLine="0" autoPict="0">
                <anchor moveWithCells="1">
                  <from>
                    <xdr:col>13</xdr:col>
                    <xdr:colOff>190500</xdr:colOff>
                    <xdr:row>8</xdr:row>
                    <xdr:rowOff>47625</xdr:rowOff>
                  </from>
                  <to>
                    <xdr:col>14</xdr:col>
                    <xdr:colOff>200025</xdr:colOff>
                    <xdr:row>8</xdr:row>
                    <xdr:rowOff>257175</xdr:rowOff>
                  </to>
                </anchor>
              </controlPr>
            </control>
          </mc:Choice>
        </mc:AlternateContent>
        <mc:AlternateContent xmlns:mc="http://schemas.openxmlformats.org/markup-compatibility/2006">
          <mc:Choice Requires="x14">
            <control shapeId="98307" r:id="rId6" name="Check Box 3">
              <controlPr defaultSize="0" autoFill="0" autoLine="0" autoPict="0">
                <anchor moveWithCells="1">
                  <from>
                    <xdr:col>13</xdr:col>
                    <xdr:colOff>190500</xdr:colOff>
                    <xdr:row>14</xdr:row>
                    <xdr:rowOff>47625</xdr:rowOff>
                  </from>
                  <to>
                    <xdr:col>14</xdr:col>
                    <xdr:colOff>200025</xdr:colOff>
                    <xdr:row>14</xdr:row>
                    <xdr:rowOff>257175</xdr:rowOff>
                  </to>
                </anchor>
              </controlPr>
            </control>
          </mc:Choice>
        </mc:AlternateContent>
        <mc:AlternateContent xmlns:mc="http://schemas.openxmlformats.org/markup-compatibility/2006">
          <mc:Choice Requires="x14">
            <control shapeId="98308" r:id="rId7" name="Check Box 4">
              <controlPr defaultSize="0" autoFill="0" autoLine="0" autoPict="0">
                <anchor moveWithCells="1">
                  <from>
                    <xdr:col>13</xdr:col>
                    <xdr:colOff>190500</xdr:colOff>
                    <xdr:row>15</xdr:row>
                    <xdr:rowOff>47625</xdr:rowOff>
                  </from>
                  <to>
                    <xdr:col>14</xdr:col>
                    <xdr:colOff>200025</xdr:colOff>
                    <xdr:row>15</xdr:row>
                    <xdr:rowOff>257175</xdr:rowOff>
                  </to>
                </anchor>
              </controlPr>
            </control>
          </mc:Choice>
        </mc:AlternateContent>
        <mc:AlternateContent xmlns:mc="http://schemas.openxmlformats.org/markup-compatibility/2006">
          <mc:Choice Requires="x14">
            <control shapeId="98309" r:id="rId8" name="Check Box 5">
              <controlPr defaultSize="0" autoFill="0" autoLine="0" autoPict="0">
                <anchor moveWithCells="1">
                  <from>
                    <xdr:col>13</xdr:col>
                    <xdr:colOff>190500</xdr:colOff>
                    <xdr:row>16</xdr:row>
                    <xdr:rowOff>47625</xdr:rowOff>
                  </from>
                  <to>
                    <xdr:col>14</xdr:col>
                    <xdr:colOff>200025</xdr:colOff>
                    <xdr:row>16</xdr:row>
                    <xdr:rowOff>257175</xdr:rowOff>
                  </to>
                </anchor>
              </controlPr>
            </control>
          </mc:Choice>
        </mc:AlternateContent>
        <mc:AlternateContent xmlns:mc="http://schemas.openxmlformats.org/markup-compatibility/2006">
          <mc:Choice Requires="x14">
            <control shapeId="98310" r:id="rId9" name="Check Box 6">
              <controlPr defaultSize="0" autoFill="0" autoLine="0" autoPict="0">
                <anchor moveWithCells="1">
                  <from>
                    <xdr:col>13</xdr:col>
                    <xdr:colOff>190500</xdr:colOff>
                    <xdr:row>17</xdr:row>
                    <xdr:rowOff>47625</xdr:rowOff>
                  </from>
                  <to>
                    <xdr:col>14</xdr:col>
                    <xdr:colOff>200025</xdr:colOff>
                    <xdr:row>17</xdr:row>
                    <xdr:rowOff>257175</xdr:rowOff>
                  </to>
                </anchor>
              </controlPr>
            </control>
          </mc:Choice>
        </mc:AlternateContent>
        <mc:AlternateContent xmlns:mc="http://schemas.openxmlformats.org/markup-compatibility/2006">
          <mc:Choice Requires="x14">
            <control shapeId="98311" r:id="rId10" name="Check Box 7">
              <controlPr defaultSize="0" autoFill="0" autoLine="0" autoPict="0">
                <anchor moveWithCells="1">
                  <from>
                    <xdr:col>13</xdr:col>
                    <xdr:colOff>190500</xdr:colOff>
                    <xdr:row>18</xdr:row>
                    <xdr:rowOff>47625</xdr:rowOff>
                  </from>
                  <to>
                    <xdr:col>14</xdr:col>
                    <xdr:colOff>200025</xdr:colOff>
                    <xdr:row>18</xdr:row>
                    <xdr:rowOff>257175</xdr:rowOff>
                  </to>
                </anchor>
              </controlPr>
            </control>
          </mc:Choice>
        </mc:AlternateContent>
        <mc:AlternateContent xmlns:mc="http://schemas.openxmlformats.org/markup-compatibility/2006">
          <mc:Choice Requires="x14">
            <control shapeId="98312" r:id="rId11" name="Check Box 8">
              <controlPr defaultSize="0" autoFill="0" autoLine="0" autoPict="0">
                <anchor moveWithCells="1">
                  <from>
                    <xdr:col>13</xdr:col>
                    <xdr:colOff>190500</xdr:colOff>
                    <xdr:row>9</xdr:row>
                    <xdr:rowOff>47625</xdr:rowOff>
                  </from>
                  <to>
                    <xdr:col>14</xdr:col>
                    <xdr:colOff>200025</xdr:colOff>
                    <xdr:row>9</xdr:row>
                    <xdr:rowOff>257175</xdr:rowOff>
                  </to>
                </anchor>
              </controlPr>
            </control>
          </mc:Choice>
        </mc:AlternateContent>
        <mc:AlternateContent xmlns:mc="http://schemas.openxmlformats.org/markup-compatibility/2006">
          <mc:Choice Requires="x14">
            <control shapeId="98313" r:id="rId12" name="Check Box 9">
              <controlPr defaultSize="0" autoFill="0" autoLine="0" autoPict="0">
                <anchor moveWithCells="1">
                  <from>
                    <xdr:col>13</xdr:col>
                    <xdr:colOff>190500</xdr:colOff>
                    <xdr:row>10</xdr:row>
                    <xdr:rowOff>47625</xdr:rowOff>
                  </from>
                  <to>
                    <xdr:col>14</xdr:col>
                    <xdr:colOff>200025</xdr:colOff>
                    <xdr:row>10</xdr:row>
                    <xdr:rowOff>257175</xdr:rowOff>
                  </to>
                </anchor>
              </controlPr>
            </control>
          </mc:Choice>
        </mc:AlternateContent>
        <mc:AlternateContent xmlns:mc="http://schemas.openxmlformats.org/markup-compatibility/2006">
          <mc:Choice Requires="x14">
            <control shapeId="98314" r:id="rId13" name="Check Box 10">
              <controlPr defaultSize="0" autoFill="0" autoLine="0" autoPict="0">
                <anchor moveWithCells="1">
                  <from>
                    <xdr:col>13</xdr:col>
                    <xdr:colOff>190500</xdr:colOff>
                    <xdr:row>13</xdr:row>
                    <xdr:rowOff>47625</xdr:rowOff>
                  </from>
                  <to>
                    <xdr:col>14</xdr:col>
                    <xdr:colOff>200025</xdr:colOff>
                    <xdr:row>13</xdr:row>
                    <xdr:rowOff>257175</xdr:rowOff>
                  </to>
                </anchor>
              </controlPr>
            </control>
          </mc:Choice>
        </mc:AlternateContent>
        <mc:AlternateContent xmlns:mc="http://schemas.openxmlformats.org/markup-compatibility/2006">
          <mc:Choice Requires="x14">
            <control shapeId="98326" r:id="rId14" name="Check Box 22">
              <controlPr defaultSize="0" autoFill="0" autoLine="0" autoPict="0">
                <anchor moveWithCells="1">
                  <from>
                    <xdr:col>19</xdr:col>
                    <xdr:colOff>190500</xdr:colOff>
                    <xdr:row>32</xdr:row>
                    <xdr:rowOff>47625</xdr:rowOff>
                  </from>
                  <to>
                    <xdr:col>20</xdr:col>
                    <xdr:colOff>200025</xdr:colOff>
                    <xdr:row>32</xdr:row>
                    <xdr:rowOff>257175</xdr:rowOff>
                  </to>
                </anchor>
              </controlPr>
            </control>
          </mc:Choice>
        </mc:AlternateContent>
        <mc:AlternateContent xmlns:mc="http://schemas.openxmlformats.org/markup-compatibility/2006">
          <mc:Choice Requires="x14">
            <control shapeId="98327" r:id="rId15" name="Check Box 23">
              <controlPr defaultSize="0" autoFill="0" autoLine="0" autoPict="0">
                <anchor moveWithCells="1">
                  <from>
                    <xdr:col>19</xdr:col>
                    <xdr:colOff>190500</xdr:colOff>
                    <xdr:row>35</xdr:row>
                    <xdr:rowOff>47625</xdr:rowOff>
                  </from>
                  <to>
                    <xdr:col>20</xdr:col>
                    <xdr:colOff>200025</xdr:colOff>
                    <xdr:row>35</xdr:row>
                    <xdr:rowOff>257175</xdr:rowOff>
                  </to>
                </anchor>
              </controlPr>
            </control>
          </mc:Choice>
        </mc:AlternateContent>
        <mc:AlternateContent xmlns:mc="http://schemas.openxmlformats.org/markup-compatibility/2006">
          <mc:Choice Requires="x14">
            <control shapeId="98328" r:id="rId16" name="Check Box 24">
              <controlPr defaultSize="0" autoFill="0" autoLine="0" autoPict="0">
                <anchor moveWithCells="1">
                  <from>
                    <xdr:col>19</xdr:col>
                    <xdr:colOff>190500</xdr:colOff>
                    <xdr:row>36</xdr:row>
                    <xdr:rowOff>47625</xdr:rowOff>
                  </from>
                  <to>
                    <xdr:col>20</xdr:col>
                    <xdr:colOff>200025</xdr:colOff>
                    <xdr:row>36</xdr:row>
                    <xdr:rowOff>257175</xdr:rowOff>
                  </to>
                </anchor>
              </controlPr>
            </control>
          </mc:Choice>
        </mc:AlternateContent>
        <mc:AlternateContent xmlns:mc="http://schemas.openxmlformats.org/markup-compatibility/2006">
          <mc:Choice Requires="x14">
            <control shapeId="98337" r:id="rId17" name="Check Box 33">
              <controlPr defaultSize="0" autoFill="0" autoLine="0" autoPict="0">
                <anchor moveWithCells="1">
                  <from>
                    <xdr:col>13</xdr:col>
                    <xdr:colOff>190500</xdr:colOff>
                    <xdr:row>11</xdr:row>
                    <xdr:rowOff>47625</xdr:rowOff>
                  </from>
                  <to>
                    <xdr:col>14</xdr:col>
                    <xdr:colOff>200025</xdr:colOff>
                    <xdr:row>11</xdr:row>
                    <xdr:rowOff>257175</xdr:rowOff>
                  </to>
                </anchor>
              </controlPr>
            </control>
          </mc:Choice>
        </mc:AlternateContent>
        <mc:AlternateContent xmlns:mc="http://schemas.openxmlformats.org/markup-compatibility/2006">
          <mc:Choice Requires="x14">
            <control shapeId="98339" r:id="rId18" name="Check Box 35">
              <controlPr defaultSize="0" autoFill="0" autoLine="0" autoPict="0">
                <anchor moveWithCells="1">
                  <from>
                    <xdr:col>13</xdr:col>
                    <xdr:colOff>190500</xdr:colOff>
                    <xdr:row>12</xdr:row>
                    <xdr:rowOff>47625</xdr:rowOff>
                  </from>
                  <to>
                    <xdr:col>14</xdr:col>
                    <xdr:colOff>200025</xdr:colOff>
                    <xdr:row>12</xdr:row>
                    <xdr:rowOff>257175</xdr:rowOff>
                  </to>
                </anchor>
              </controlPr>
            </control>
          </mc:Choice>
        </mc:AlternateContent>
        <mc:AlternateContent xmlns:mc="http://schemas.openxmlformats.org/markup-compatibility/2006">
          <mc:Choice Requires="x14">
            <control shapeId="98340" r:id="rId19" name="Check Box 36">
              <controlPr defaultSize="0" autoFill="0" autoLine="0" autoPict="0">
                <anchor moveWithCells="1">
                  <from>
                    <xdr:col>19</xdr:col>
                    <xdr:colOff>190500</xdr:colOff>
                    <xdr:row>33</xdr:row>
                    <xdr:rowOff>47625</xdr:rowOff>
                  </from>
                  <to>
                    <xdr:col>20</xdr:col>
                    <xdr:colOff>200025</xdr:colOff>
                    <xdr:row>33</xdr:row>
                    <xdr:rowOff>257175</xdr:rowOff>
                  </to>
                </anchor>
              </controlPr>
            </control>
          </mc:Choice>
        </mc:AlternateContent>
        <mc:AlternateContent xmlns:mc="http://schemas.openxmlformats.org/markup-compatibility/2006">
          <mc:Choice Requires="x14">
            <control shapeId="98341" r:id="rId20" name="Check Box 37">
              <controlPr defaultSize="0" autoFill="0" autoLine="0" autoPict="0">
                <anchor moveWithCells="1">
                  <from>
                    <xdr:col>19</xdr:col>
                    <xdr:colOff>190500</xdr:colOff>
                    <xdr:row>34</xdr:row>
                    <xdr:rowOff>47625</xdr:rowOff>
                  </from>
                  <to>
                    <xdr:col>20</xdr:col>
                    <xdr:colOff>200025</xdr:colOff>
                    <xdr:row>34</xdr:row>
                    <xdr:rowOff>257175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B1:AO106"/>
  <sheetViews>
    <sheetView showGridLines="0" view="pageBreakPreview" zoomScaleNormal="100" zoomScaleSheetLayoutView="100" workbookViewId="0">
      <selection activeCell="R37" sqref="R37:S37"/>
    </sheetView>
  </sheetViews>
  <sheetFormatPr defaultRowHeight="13.5"/>
  <cols>
    <col min="1" max="1" width="0.875" style="52" customWidth="1"/>
    <col min="2" max="29" width="3.875" style="52" customWidth="1"/>
    <col min="30" max="31" width="10.625" style="52" hidden="1" customWidth="1"/>
    <col min="32" max="32" width="2.625" style="52" hidden="1" customWidth="1"/>
    <col min="33" max="35" width="10.625" style="52" hidden="1" customWidth="1"/>
    <col min="36" max="36" width="2.625" style="52" hidden="1" customWidth="1"/>
    <col min="37" max="38" width="15.625" style="52" hidden="1" customWidth="1"/>
    <col min="39" max="39" width="2.625" style="52" hidden="1" customWidth="1"/>
    <col min="40" max="41" width="10.625" style="52" hidden="1" customWidth="1"/>
    <col min="42" max="43" width="3.625" style="52" customWidth="1"/>
    <col min="44" max="49" width="4.625" style="52" customWidth="1"/>
    <col min="50" max="16384" width="9" style="52"/>
  </cols>
  <sheetData>
    <row r="1" spans="2:41" ht="3.95" customHeight="1"/>
    <row r="2" spans="2:41" s="36" customFormat="1" ht="30" customHeight="1">
      <c r="B2" s="447" t="s">
        <v>111</v>
      </c>
      <c r="C2" s="447"/>
      <c r="D2" s="447"/>
      <c r="E2" s="447"/>
      <c r="F2" s="447"/>
      <c r="G2" s="447"/>
      <c r="H2" s="447"/>
      <c r="I2" s="447"/>
      <c r="J2" s="447"/>
      <c r="K2" s="447"/>
      <c r="L2" s="447"/>
      <c r="M2" s="447"/>
      <c r="N2" s="447"/>
      <c r="O2" s="447"/>
      <c r="P2" s="447"/>
      <c r="Q2" s="447"/>
      <c r="R2" s="447"/>
      <c r="S2" s="447"/>
      <c r="T2" s="447"/>
      <c r="U2" s="447"/>
      <c r="V2" s="447"/>
      <c r="W2" s="447"/>
      <c r="X2" s="447"/>
      <c r="Y2" s="447"/>
      <c r="Z2" s="447"/>
      <c r="AA2" s="447"/>
    </row>
    <row r="3" spans="2:41" s="37" customFormat="1" ht="24.95" customHeight="1" thickBot="1"/>
    <row r="4" spans="2:41" s="37" customFormat="1" ht="21.95" customHeight="1" thickBot="1">
      <c r="B4" s="38" t="s">
        <v>5</v>
      </c>
      <c r="R4" s="448" t="s">
        <v>35</v>
      </c>
      <c r="S4" s="449"/>
      <c r="T4" s="449"/>
      <c r="U4" s="450"/>
      <c r="V4" s="510">
        <f>IF(共通条件・結果!AA7="８地域","0.528",IF(共通条件・結果!AA7="７地域",0.49,IF(共通条件・結果!AA7="６地域",0.498,IF(共通条件・結果!AA7="５地域",0.5,IF(共通条件・結果!AA7="４地域",0.508,IF(共通条件・結果!AA7="３地域",0.487,IF(共通条件・結果!AA7="２地域",0.527,IF(共通条件・結果!AA7="１地域",0.56))))))))</f>
        <v>0.498</v>
      </c>
      <c r="W4" s="511"/>
      <c r="X4" s="502">
        <f>IF(共通条件・結果!AA7="８地域","-",IF(共通条件・結果!AA7="７地域",0.843,IF(共通条件・結果!AA7="６地域",0.833,IF(共通条件・結果!AA7="５地域",0.846,IF(共通条件・結果!AA7="４地域",0.724,IF(共通条件・結果!AA7="３地域",0.751,IF(共通条件・結果!AA7="２地域",0.766,IF(共通条件・結果!AA7="１地域",0.823))))))))</f>
        <v>0.83299999999999996</v>
      </c>
      <c r="Y4" s="503"/>
    </row>
    <row r="5" spans="2:41" s="37" customFormat="1" ht="21.95" customHeight="1">
      <c r="B5" s="453" t="s">
        <v>6</v>
      </c>
      <c r="C5" s="361"/>
      <c r="D5" s="361" t="s">
        <v>91</v>
      </c>
      <c r="E5" s="361"/>
      <c r="F5" s="361"/>
      <c r="G5" s="361"/>
      <c r="H5" s="361" t="s">
        <v>7</v>
      </c>
      <c r="I5" s="361"/>
      <c r="J5" s="360" t="s">
        <v>99</v>
      </c>
      <c r="K5" s="361"/>
      <c r="L5" s="360" t="s">
        <v>10</v>
      </c>
      <c r="M5" s="361"/>
      <c r="N5" s="456" t="s">
        <v>71</v>
      </c>
      <c r="O5" s="457"/>
      <c r="P5" s="457"/>
      <c r="Q5" s="457"/>
      <c r="R5" s="457"/>
      <c r="S5" s="457"/>
      <c r="T5" s="457"/>
      <c r="U5" s="457"/>
      <c r="V5" s="360" t="s">
        <v>66</v>
      </c>
      <c r="W5" s="361"/>
      <c r="X5" s="360" t="s">
        <v>67</v>
      </c>
      <c r="Y5" s="361"/>
      <c r="Z5" s="361" t="s">
        <v>13</v>
      </c>
      <c r="AA5" s="363"/>
    </row>
    <row r="6" spans="2:41" s="37" customFormat="1" ht="21.95" customHeight="1">
      <c r="B6" s="454"/>
      <c r="C6" s="443"/>
      <c r="D6" s="469" t="s">
        <v>9</v>
      </c>
      <c r="E6" s="470"/>
      <c r="F6" s="473" t="s">
        <v>8</v>
      </c>
      <c r="G6" s="474"/>
      <c r="H6" s="443"/>
      <c r="I6" s="443"/>
      <c r="J6" s="442"/>
      <c r="K6" s="443"/>
      <c r="L6" s="442"/>
      <c r="M6" s="443"/>
      <c r="N6" s="476" t="s">
        <v>69</v>
      </c>
      <c r="O6" s="477"/>
      <c r="P6" s="479" t="s">
        <v>70</v>
      </c>
      <c r="Q6" s="480"/>
      <c r="R6" s="480"/>
      <c r="S6" s="480"/>
      <c r="T6" s="480"/>
      <c r="U6" s="481"/>
      <c r="V6" s="442"/>
      <c r="W6" s="443"/>
      <c r="X6" s="442"/>
      <c r="Y6" s="443"/>
      <c r="Z6" s="443"/>
      <c r="AA6" s="444"/>
      <c r="AD6" s="401" t="s">
        <v>74</v>
      </c>
      <c r="AE6" s="401"/>
      <c r="AF6" s="39"/>
      <c r="AG6" s="39"/>
      <c r="AH6" s="401" t="s">
        <v>14</v>
      </c>
      <c r="AI6" s="401"/>
      <c r="AJ6" s="39"/>
      <c r="AK6" s="401" t="s">
        <v>75</v>
      </c>
      <c r="AL6" s="401"/>
      <c r="AN6" s="401" t="s">
        <v>89</v>
      </c>
      <c r="AO6" s="401"/>
    </row>
    <row r="7" spans="2:41" s="37" customFormat="1" ht="21.95" customHeight="1" thickBot="1">
      <c r="B7" s="455"/>
      <c r="C7" s="362"/>
      <c r="D7" s="471"/>
      <c r="E7" s="472"/>
      <c r="F7" s="475"/>
      <c r="G7" s="438"/>
      <c r="H7" s="362"/>
      <c r="I7" s="362"/>
      <c r="J7" s="362"/>
      <c r="K7" s="362"/>
      <c r="L7" s="362"/>
      <c r="M7" s="362"/>
      <c r="N7" s="378"/>
      <c r="O7" s="478"/>
      <c r="P7" s="438" t="s">
        <v>11</v>
      </c>
      <c r="Q7" s="439"/>
      <c r="R7" s="440" t="s">
        <v>12</v>
      </c>
      <c r="S7" s="441"/>
      <c r="T7" s="438" t="s">
        <v>3</v>
      </c>
      <c r="U7" s="439"/>
      <c r="V7" s="362"/>
      <c r="W7" s="362"/>
      <c r="X7" s="362"/>
      <c r="Y7" s="362"/>
      <c r="Z7" s="362"/>
      <c r="AA7" s="364"/>
      <c r="AD7" s="39" t="s">
        <v>4</v>
      </c>
      <c r="AE7" s="39" t="s">
        <v>18</v>
      </c>
      <c r="AF7" s="39"/>
      <c r="AG7" s="39"/>
      <c r="AH7" s="39" t="s">
        <v>4</v>
      </c>
      <c r="AI7" s="39" t="s">
        <v>18</v>
      </c>
      <c r="AJ7" s="39"/>
      <c r="AK7" s="39" t="s">
        <v>4</v>
      </c>
      <c r="AL7" s="39" t="s">
        <v>18</v>
      </c>
      <c r="AN7" s="97" t="s">
        <v>87</v>
      </c>
      <c r="AO7" s="37" t="s">
        <v>85</v>
      </c>
    </row>
    <row r="8" spans="2:41" s="37" customFormat="1" ht="21.95" customHeight="1">
      <c r="B8" s="433"/>
      <c r="C8" s="434"/>
      <c r="D8" s="435"/>
      <c r="E8" s="436"/>
      <c r="F8" s="436"/>
      <c r="G8" s="437"/>
      <c r="H8" s="392"/>
      <c r="I8" s="392"/>
      <c r="J8" s="392"/>
      <c r="K8" s="392"/>
      <c r="L8" s="410"/>
      <c r="M8" s="410"/>
      <c r="N8" s="482"/>
      <c r="O8" s="483"/>
      <c r="P8" s="461"/>
      <c r="Q8" s="484"/>
      <c r="R8" s="458"/>
      <c r="S8" s="459"/>
      <c r="T8" s="460"/>
      <c r="U8" s="461"/>
      <c r="V8" s="462" t="str">
        <f>IF(D8="","",AD8)</f>
        <v/>
      </c>
      <c r="W8" s="462"/>
      <c r="X8" s="462" t="str">
        <f t="shared" ref="X8:X19" si="0">IF(D8="","",IF(ISERROR(AE8),"-",AE8))</f>
        <v/>
      </c>
      <c r="Y8" s="462"/>
      <c r="Z8" s="462" t="str">
        <f>IF(D8="","",D8*F8*AN8)</f>
        <v/>
      </c>
      <c r="AA8" s="463"/>
      <c r="AD8" s="37" t="e">
        <f>D8*F8*J8*$V$4*AH8</f>
        <v>#VALUE!</v>
      </c>
      <c r="AE8" s="37" t="e">
        <f>D8*F8*J8*$X$4*AI8</f>
        <v>#VALUE!</v>
      </c>
      <c r="AG8" s="40" t="b">
        <v>0</v>
      </c>
      <c r="AH8" s="37" t="str">
        <f>IF(AG8=TRUE,"0.93",IF(ISERROR(AK8),"エラー",IF(AK8&gt;0.93,"0.93",AK8)))</f>
        <v>エラー</v>
      </c>
      <c r="AI8" s="37" t="str">
        <f>IF(AG8=TRUE,"0.51",IF(ISERROR(AL8),"エラー",IF(AL8&gt;0.72,"0.72",AL8)))</f>
        <v>エラー</v>
      </c>
      <c r="AK8" s="37" t="e">
        <f>IF(共通条件・結果!$AA$7="８（Ⅵ）",0.01*(16+19*(2*R8+T8)/P8),0.01*(16+24*(2*R8+T8)/P8))</f>
        <v>#DIV/0!</v>
      </c>
      <c r="AL8" s="37" t="e">
        <f>0.01*(5+20*(3*R8+T8)/P8)</f>
        <v>#DIV/0!</v>
      </c>
      <c r="AN8" s="37">
        <f>IF(共通条件・結果!$AA$7="８地域",H8,IF(AO8="FALSE",H8,IF(L8="風除室",1/((1/H8)+0.1),0.5*H8+0.5*(1/((1/H8)+AO8)))))</f>
        <v>0</v>
      </c>
      <c r="AO8" s="39" t="str">
        <f t="shared" ref="AO8:AO19" si="1">IF(L8="","FALSE",IF(L8="雨戸",0.1,IF(L8="ｼｬｯﾀｰ",0.1,IF(L8="障子",0.18,IF(L8="風除室",0.1)))))</f>
        <v>FALSE</v>
      </c>
    </row>
    <row r="9" spans="2:41" s="37" customFormat="1" ht="21.95" customHeight="1">
      <c r="B9" s="419"/>
      <c r="C9" s="420"/>
      <c r="D9" s="421"/>
      <c r="E9" s="422"/>
      <c r="F9" s="422"/>
      <c r="G9" s="423"/>
      <c r="H9" s="370"/>
      <c r="I9" s="370"/>
      <c r="J9" s="370"/>
      <c r="K9" s="370"/>
      <c r="L9" s="398" t="s">
        <v>65</v>
      </c>
      <c r="M9" s="398"/>
      <c r="N9" s="428"/>
      <c r="O9" s="429"/>
      <c r="P9" s="427"/>
      <c r="Q9" s="430"/>
      <c r="R9" s="424"/>
      <c r="S9" s="425"/>
      <c r="T9" s="426"/>
      <c r="U9" s="427"/>
      <c r="V9" s="358" t="str">
        <f t="shared" ref="V9:V19" si="2">IF(D9="","",AD9)</f>
        <v/>
      </c>
      <c r="W9" s="358"/>
      <c r="X9" s="358" t="str">
        <f t="shared" si="0"/>
        <v/>
      </c>
      <c r="Y9" s="358"/>
      <c r="Z9" s="358" t="str">
        <f t="shared" ref="Z9:Z19" si="3">IF(D9="","",D9*F9*AN9)</f>
        <v/>
      </c>
      <c r="AA9" s="359"/>
      <c r="AD9" s="37" t="e">
        <f t="shared" ref="AD9:AD19" si="4">D9*F9*J9*$V$4*AH9</f>
        <v>#VALUE!</v>
      </c>
      <c r="AE9" s="37" t="e">
        <f t="shared" ref="AE9:AE19" si="5">D9*F9*J9*$X$4*AI9</f>
        <v>#VALUE!</v>
      </c>
      <c r="AG9" s="40" t="b">
        <v>0</v>
      </c>
      <c r="AH9" s="37" t="str">
        <f t="shared" ref="AH9:AH19" si="6">IF(AG9=TRUE,"0.93",IF(ISERROR(AK9),"エラー",IF(AK9&gt;0.93,"0.93",AK9)))</f>
        <v>エラー</v>
      </c>
      <c r="AI9" s="37" t="str">
        <f t="shared" ref="AI9:AI19" si="7">IF(AG9=TRUE,"0.51",IF(ISERROR(AL9),"エラー",IF(AL9&gt;0.72,"0.72",AL9)))</f>
        <v>エラー</v>
      </c>
      <c r="AK9" s="37" t="e">
        <f>IF(共通条件・結果!$AA$7="８（Ⅵ）",0.01*(16+19*(2*R9+T9)/P9),0.01*(16+24*(2*R9+T9)/P9))</f>
        <v>#DIV/0!</v>
      </c>
      <c r="AL9" s="37" t="e">
        <f t="shared" ref="AL9:AL19" si="8">0.01*(5+20*(3*R9+T9)/P9)</f>
        <v>#DIV/0!</v>
      </c>
      <c r="AN9" s="37" t="e">
        <f>IF(共通条件・結果!$AA$7="８地域",H9,IF(AO9="FALSE",H9,IF(L9="風除室",1/((1/H9)+0.1),0.5*H9+0.5*(1/((1/H9)+AO9)))))</f>
        <v>#DIV/0!</v>
      </c>
      <c r="AO9" s="39" t="b">
        <f t="shared" si="1"/>
        <v>0</v>
      </c>
    </row>
    <row r="10" spans="2:41" s="37" customFormat="1" ht="21.95" customHeight="1">
      <c r="B10" s="419"/>
      <c r="C10" s="420"/>
      <c r="D10" s="421"/>
      <c r="E10" s="422"/>
      <c r="F10" s="422"/>
      <c r="G10" s="423"/>
      <c r="H10" s="370"/>
      <c r="I10" s="370"/>
      <c r="J10" s="370"/>
      <c r="K10" s="370"/>
      <c r="L10" s="398" t="s">
        <v>65</v>
      </c>
      <c r="M10" s="398"/>
      <c r="N10" s="428"/>
      <c r="O10" s="429"/>
      <c r="P10" s="430"/>
      <c r="Q10" s="432"/>
      <c r="R10" s="431"/>
      <c r="S10" s="432"/>
      <c r="T10" s="431"/>
      <c r="U10" s="426"/>
      <c r="V10" s="358" t="str">
        <f t="shared" si="2"/>
        <v/>
      </c>
      <c r="W10" s="358"/>
      <c r="X10" s="358" t="str">
        <f t="shared" si="0"/>
        <v/>
      </c>
      <c r="Y10" s="358"/>
      <c r="Z10" s="358" t="str">
        <f t="shared" si="3"/>
        <v/>
      </c>
      <c r="AA10" s="359"/>
      <c r="AD10" s="37" t="e">
        <f t="shared" si="4"/>
        <v>#VALUE!</v>
      </c>
      <c r="AE10" s="37" t="e">
        <f t="shared" si="5"/>
        <v>#VALUE!</v>
      </c>
      <c r="AG10" s="40" t="b">
        <v>0</v>
      </c>
      <c r="AH10" s="37" t="str">
        <f t="shared" si="6"/>
        <v>エラー</v>
      </c>
      <c r="AI10" s="37" t="str">
        <f t="shared" si="7"/>
        <v>エラー</v>
      </c>
      <c r="AK10" s="37" t="e">
        <f>IF(共通条件・結果!$AA$7="８（Ⅵ）",0.01*(16+19*(2*R10+T10)/P10),0.01*(16+24*(2*R10+T10)/P10))</f>
        <v>#DIV/0!</v>
      </c>
      <c r="AL10" s="37" t="e">
        <f t="shared" si="8"/>
        <v>#DIV/0!</v>
      </c>
      <c r="AN10" s="37" t="e">
        <f>IF(共通条件・結果!$AA$7="８地域",H10,IF(AO10="FALSE",H10,IF(L10="風除室",1/((1/H10)+0.1),0.5*H10+0.5*(1/((1/H10)+AO10)))))</f>
        <v>#DIV/0!</v>
      </c>
      <c r="AO10" s="39" t="b">
        <f t="shared" si="1"/>
        <v>0</v>
      </c>
    </row>
    <row r="11" spans="2:41" s="37" customFormat="1" ht="21.95" customHeight="1">
      <c r="B11" s="419"/>
      <c r="C11" s="420"/>
      <c r="D11" s="421"/>
      <c r="E11" s="422"/>
      <c r="F11" s="422"/>
      <c r="G11" s="423"/>
      <c r="H11" s="370"/>
      <c r="I11" s="370"/>
      <c r="J11" s="370"/>
      <c r="K11" s="370"/>
      <c r="L11" s="398" t="s">
        <v>65</v>
      </c>
      <c r="M11" s="398"/>
      <c r="N11" s="428"/>
      <c r="O11" s="429"/>
      <c r="P11" s="430"/>
      <c r="Q11" s="432"/>
      <c r="R11" s="431"/>
      <c r="S11" s="432"/>
      <c r="T11" s="431"/>
      <c r="U11" s="426"/>
      <c r="V11" s="358" t="str">
        <f t="shared" si="2"/>
        <v/>
      </c>
      <c r="W11" s="358"/>
      <c r="X11" s="358" t="str">
        <f t="shared" si="0"/>
        <v/>
      </c>
      <c r="Y11" s="358"/>
      <c r="Z11" s="358" t="str">
        <f t="shared" si="3"/>
        <v/>
      </c>
      <c r="AA11" s="359"/>
      <c r="AD11" s="37" t="e">
        <f t="shared" si="4"/>
        <v>#VALUE!</v>
      </c>
      <c r="AE11" s="37" t="e">
        <f t="shared" si="5"/>
        <v>#VALUE!</v>
      </c>
      <c r="AG11" s="40" t="b">
        <v>0</v>
      </c>
      <c r="AH11" s="37" t="str">
        <f t="shared" si="6"/>
        <v>エラー</v>
      </c>
      <c r="AI11" s="37" t="str">
        <f t="shared" si="7"/>
        <v>エラー</v>
      </c>
      <c r="AK11" s="37" t="e">
        <f>IF(共通条件・結果!$AA$7="８（Ⅵ）",0.01*(16+19*(2*R11+T11)/P11),0.01*(16+24*(2*R11+T11)/P11))</f>
        <v>#DIV/0!</v>
      </c>
      <c r="AL11" s="37" t="e">
        <f t="shared" si="8"/>
        <v>#DIV/0!</v>
      </c>
      <c r="AN11" s="37" t="e">
        <f>IF(共通条件・結果!$AA$7="８地域",H11,IF(AO11="FALSE",H11,IF(L11="風除室",1/((1/H11)+0.1),0.5*H11+0.5*(1/((1/H11)+AO11)))))</f>
        <v>#DIV/0!</v>
      </c>
      <c r="AO11" s="39" t="b">
        <f t="shared" si="1"/>
        <v>0</v>
      </c>
    </row>
    <row r="12" spans="2:41" s="37" customFormat="1" ht="21.95" customHeight="1">
      <c r="B12" s="419"/>
      <c r="C12" s="445"/>
      <c r="D12" s="488"/>
      <c r="E12" s="492"/>
      <c r="F12" s="493"/>
      <c r="G12" s="489"/>
      <c r="H12" s="488"/>
      <c r="I12" s="489"/>
      <c r="J12" s="488"/>
      <c r="K12" s="489"/>
      <c r="L12" s="495"/>
      <c r="M12" s="496"/>
      <c r="N12" s="428"/>
      <c r="O12" s="497"/>
      <c r="P12" s="430"/>
      <c r="Q12" s="432"/>
      <c r="R12" s="431"/>
      <c r="S12" s="432"/>
      <c r="T12" s="431"/>
      <c r="U12" s="426"/>
      <c r="V12" s="356" t="str">
        <f t="shared" ref="V12:V13" si="9">IF(D12="","",AD12)</f>
        <v/>
      </c>
      <c r="W12" s="357"/>
      <c r="X12" s="356" t="str">
        <f t="shared" ref="X12:X13" si="10">IF(D12="","",IF(ISERROR(AE12),"-",AE12))</f>
        <v/>
      </c>
      <c r="Y12" s="357"/>
      <c r="Z12" s="356" t="str">
        <f t="shared" ref="Z12:Z13" si="11">IF(D12="","",D12*F12*AN12)</f>
        <v/>
      </c>
      <c r="AA12" s="375"/>
      <c r="AD12" s="37" t="e">
        <f t="shared" ref="AD12:AD13" si="12">D12*F12*J12*$V$4*AH12</f>
        <v>#VALUE!</v>
      </c>
      <c r="AE12" s="37" t="e">
        <f t="shared" ref="AE12:AE13" si="13">D12*F12*J12*$X$4*AI12</f>
        <v>#VALUE!</v>
      </c>
      <c r="AG12" s="40" t="b">
        <v>0</v>
      </c>
      <c r="AH12" s="37" t="str">
        <f t="shared" ref="AH12:AH13" si="14">IF(AG12=TRUE,"0.93",IF(ISERROR(AK12),"エラー",IF(AK12&gt;0.93,"0.93",AK12)))</f>
        <v>エラー</v>
      </c>
      <c r="AI12" s="37" t="str">
        <f t="shared" ref="AI12:AI13" si="15">IF(AG12=TRUE,"0.51",IF(ISERROR(AL12),"エラー",IF(AL12&gt;0.72,"0.72",AL12)))</f>
        <v>エラー</v>
      </c>
      <c r="AK12" s="37" t="e">
        <f>IF(共通条件・結果!$AA$7="８（Ⅵ）",0.01*(16+19*(2*R12+T12)/P12),0.01*(16+24*(2*R12+T12)/P12))</f>
        <v>#DIV/0!</v>
      </c>
      <c r="AL12" s="37" t="e">
        <f t="shared" ref="AL12:AL13" si="16">0.01*(5+20*(3*R12+T12)/P12)</f>
        <v>#DIV/0!</v>
      </c>
      <c r="AN12" s="37">
        <f>IF(共通条件・結果!$AA$7="８地域",H12,IF(AO12="FALSE",H12,IF(L12="風除室",1/((1/H12)+0.1),0.5*H12+0.5*(1/((1/H12)+AO12)))))</f>
        <v>0</v>
      </c>
      <c r="AO12" s="95" t="str">
        <f t="shared" ref="AO12:AO13" si="17">IF(L12="","FALSE",IF(L12="雨戸",0.1,IF(L12="ｼｬｯﾀｰ",0.1,IF(L12="障子",0.18,IF(L12="風除室",0.1)))))</f>
        <v>FALSE</v>
      </c>
    </row>
    <row r="13" spans="2:41" s="37" customFormat="1" ht="21.95" customHeight="1">
      <c r="B13" s="419"/>
      <c r="C13" s="445"/>
      <c r="D13" s="488"/>
      <c r="E13" s="492"/>
      <c r="F13" s="493"/>
      <c r="G13" s="489"/>
      <c r="H13" s="488"/>
      <c r="I13" s="489"/>
      <c r="J13" s="488"/>
      <c r="K13" s="489"/>
      <c r="L13" s="495"/>
      <c r="M13" s="496"/>
      <c r="N13" s="428"/>
      <c r="O13" s="497"/>
      <c r="P13" s="430"/>
      <c r="Q13" s="432"/>
      <c r="R13" s="431"/>
      <c r="S13" s="432"/>
      <c r="T13" s="431"/>
      <c r="U13" s="426"/>
      <c r="V13" s="356" t="str">
        <f t="shared" si="9"/>
        <v/>
      </c>
      <c r="W13" s="357"/>
      <c r="X13" s="356" t="str">
        <f t="shared" si="10"/>
        <v/>
      </c>
      <c r="Y13" s="357"/>
      <c r="Z13" s="356" t="str">
        <f t="shared" si="11"/>
        <v/>
      </c>
      <c r="AA13" s="375"/>
      <c r="AD13" s="37" t="e">
        <f t="shared" si="12"/>
        <v>#VALUE!</v>
      </c>
      <c r="AE13" s="37" t="e">
        <f t="shared" si="13"/>
        <v>#VALUE!</v>
      </c>
      <c r="AG13" s="40" t="b">
        <v>0</v>
      </c>
      <c r="AH13" s="37" t="str">
        <f t="shared" si="14"/>
        <v>エラー</v>
      </c>
      <c r="AI13" s="37" t="str">
        <f t="shared" si="15"/>
        <v>エラー</v>
      </c>
      <c r="AK13" s="37" t="e">
        <f>IF(共通条件・結果!$AA$7="８（Ⅵ）",0.01*(16+19*(2*R13+T13)/P13),0.01*(16+24*(2*R13+T13)/P13))</f>
        <v>#DIV/0!</v>
      </c>
      <c r="AL13" s="37" t="e">
        <f t="shared" si="16"/>
        <v>#DIV/0!</v>
      </c>
      <c r="AN13" s="37">
        <f>IF(共通条件・結果!$AA$7="８地域",H13,IF(AO13="FALSE",H13,IF(L13="風除室",1/((1/H13)+0.1),0.5*H13+0.5*(1/((1/H13)+AO13)))))</f>
        <v>0</v>
      </c>
      <c r="AO13" s="95" t="str">
        <f t="shared" si="17"/>
        <v>FALSE</v>
      </c>
    </row>
    <row r="14" spans="2:41" s="37" customFormat="1" ht="21.95" customHeight="1">
      <c r="B14" s="419"/>
      <c r="C14" s="420"/>
      <c r="D14" s="421"/>
      <c r="E14" s="422"/>
      <c r="F14" s="422"/>
      <c r="G14" s="423"/>
      <c r="H14" s="370"/>
      <c r="I14" s="370"/>
      <c r="J14" s="370"/>
      <c r="K14" s="370"/>
      <c r="L14" s="398" t="s">
        <v>65</v>
      </c>
      <c r="M14" s="398"/>
      <c r="N14" s="428"/>
      <c r="O14" s="429"/>
      <c r="P14" s="430"/>
      <c r="Q14" s="432"/>
      <c r="R14" s="431"/>
      <c r="S14" s="432"/>
      <c r="T14" s="431"/>
      <c r="U14" s="426"/>
      <c r="V14" s="358" t="str">
        <f t="shared" si="2"/>
        <v/>
      </c>
      <c r="W14" s="358"/>
      <c r="X14" s="358" t="str">
        <f t="shared" si="0"/>
        <v/>
      </c>
      <c r="Y14" s="358"/>
      <c r="Z14" s="358" t="str">
        <f t="shared" si="3"/>
        <v/>
      </c>
      <c r="AA14" s="359"/>
      <c r="AD14" s="37" t="e">
        <f t="shared" si="4"/>
        <v>#VALUE!</v>
      </c>
      <c r="AE14" s="37" t="e">
        <f t="shared" si="5"/>
        <v>#VALUE!</v>
      </c>
      <c r="AG14" s="40" t="b">
        <v>0</v>
      </c>
      <c r="AH14" s="37" t="str">
        <f t="shared" si="6"/>
        <v>エラー</v>
      </c>
      <c r="AI14" s="37" t="str">
        <f t="shared" si="7"/>
        <v>エラー</v>
      </c>
      <c r="AK14" s="37" t="e">
        <f>IF(共通条件・結果!$AA$7="８（Ⅵ）",0.01*(16+19*(2*R14+T14)/P14),0.01*(16+24*(2*R14+T14)/P14))</f>
        <v>#DIV/0!</v>
      </c>
      <c r="AL14" s="37" t="e">
        <f t="shared" si="8"/>
        <v>#DIV/0!</v>
      </c>
      <c r="AN14" s="37" t="e">
        <f>IF(共通条件・結果!$AA$7="８地域",H14,IF(AO14="FALSE",H14,IF(L14="風除室",1/((1/H14)+0.1),0.5*H14+0.5*(1/((1/H14)+AO14)))))</f>
        <v>#DIV/0!</v>
      </c>
      <c r="AO14" s="39" t="b">
        <f t="shared" si="1"/>
        <v>0</v>
      </c>
    </row>
    <row r="15" spans="2:41" s="37" customFormat="1" ht="21.95" customHeight="1">
      <c r="B15" s="419"/>
      <c r="C15" s="420"/>
      <c r="D15" s="421"/>
      <c r="E15" s="422"/>
      <c r="F15" s="422"/>
      <c r="G15" s="423"/>
      <c r="H15" s="370"/>
      <c r="I15" s="370"/>
      <c r="J15" s="370"/>
      <c r="K15" s="370"/>
      <c r="L15" s="398" t="s">
        <v>65</v>
      </c>
      <c r="M15" s="398"/>
      <c r="N15" s="428"/>
      <c r="O15" s="429"/>
      <c r="P15" s="430"/>
      <c r="Q15" s="432"/>
      <c r="R15" s="431"/>
      <c r="S15" s="432"/>
      <c r="T15" s="431"/>
      <c r="U15" s="426"/>
      <c r="V15" s="356" t="str">
        <f t="shared" si="2"/>
        <v/>
      </c>
      <c r="W15" s="357"/>
      <c r="X15" s="358" t="str">
        <f t="shared" si="0"/>
        <v/>
      </c>
      <c r="Y15" s="358"/>
      <c r="Z15" s="358" t="str">
        <f t="shared" si="3"/>
        <v/>
      </c>
      <c r="AA15" s="359"/>
      <c r="AD15" s="37" t="e">
        <f t="shared" si="4"/>
        <v>#VALUE!</v>
      </c>
      <c r="AE15" s="37" t="e">
        <f t="shared" si="5"/>
        <v>#VALUE!</v>
      </c>
      <c r="AG15" s="40" t="b">
        <v>0</v>
      </c>
      <c r="AH15" s="37" t="str">
        <f t="shared" si="6"/>
        <v>エラー</v>
      </c>
      <c r="AI15" s="37" t="str">
        <f t="shared" si="7"/>
        <v>エラー</v>
      </c>
      <c r="AK15" s="37" t="e">
        <f>IF(共通条件・結果!$AA$7="８（Ⅵ）",0.01*(16+19*(2*R15+T15)/P15),0.01*(16+24*(2*R15+T15)/P15))</f>
        <v>#DIV/0!</v>
      </c>
      <c r="AL15" s="37" t="e">
        <f t="shared" si="8"/>
        <v>#DIV/0!</v>
      </c>
      <c r="AN15" s="37" t="e">
        <f>IF(共通条件・結果!$AA$7="８地域",H15,IF(AO15="FALSE",H15,IF(L15="風除室",1/((1/H15)+0.1),0.5*H15+0.5*(1/((1/H15)+AO15)))))</f>
        <v>#DIV/0!</v>
      </c>
      <c r="AO15" s="39" t="b">
        <f t="shared" si="1"/>
        <v>0</v>
      </c>
    </row>
    <row r="16" spans="2:41" s="37" customFormat="1" ht="21.95" customHeight="1">
      <c r="B16" s="419"/>
      <c r="C16" s="420"/>
      <c r="D16" s="421"/>
      <c r="E16" s="422"/>
      <c r="F16" s="422"/>
      <c r="G16" s="423"/>
      <c r="H16" s="370"/>
      <c r="I16" s="370"/>
      <c r="J16" s="370"/>
      <c r="K16" s="370"/>
      <c r="L16" s="398" t="s">
        <v>65</v>
      </c>
      <c r="M16" s="398"/>
      <c r="N16" s="428"/>
      <c r="O16" s="429"/>
      <c r="P16" s="430"/>
      <c r="Q16" s="432"/>
      <c r="R16" s="431"/>
      <c r="S16" s="432"/>
      <c r="T16" s="431"/>
      <c r="U16" s="426"/>
      <c r="V16" s="356" t="str">
        <f t="shared" si="2"/>
        <v/>
      </c>
      <c r="W16" s="357"/>
      <c r="X16" s="358" t="str">
        <f t="shared" si="0"/>
        <v/>
      </c>
      <c r="Y16" s="358"/>
      <c r="Z16" s="358" t="str">
        <f t="shared" si="3"/>
        <v/>
      </c>
      <c r="AA16" s="359"/>
      <c r="AD16" s="37" t="e">
        <f t="shared" si="4"/>
        <v>#VALUE!</v>
      </c>
      <c r="AE16" s="37" t="e">
        <f t="shared" si="5"/>
        <v>#VALUE!</v>
      </c>
      <c r="AG16" s="40" t="b">
        <v>0</v>
      </c>
      <c r="AH16" s="37" t="str">
        <f t="shared" si="6"/>
        <v>エラー</v>
      </c>
      <c r="AI16" s="37" t="str">
        <f t="shared" si="7"/>
        <v>エラー</v>
      </c>
      <c r="AK16" s="37" t="e">
        <f>IF(共通条件・結果!$AA$7="８（Ⅵ）",0.01*(16+19*(2*R16+T16)/P16),0.01*(16+24*(2*R16+T16)/P16))</f>
        <v>#DIV/0!</v>
      </c>
      <c r="AL16" s="37" t="e">
        <f t="shared" si="8"/>
        <v>#DIV/0!</v>
      </c>
      <c r="AN16" s="37" t="e">
        <f>IF(共通条件・結果!$AA$7="８地域",H16,IF(AO16="FALSE",H16,IF(L16="風除室",1/((1/H16)+0.1),0.5*H16+0.5*(1/((1/H16)+AO16)))))</f>
        <v>#DIV/0!</v>
      </c>
      <c r="AO16" s="39" t="b">
        <f t="shared" si="1"/>
        <v>0</v>
      </c>
    </row>
    <row r="17" spans="2:41" s="37" customFormat="1" ht="21.95" customHeight="1">
      <c r="B17" s="419"/>
      <c r="C17" s="420"/>
      <c r="D17" s="421"/>
      <c r="E17" s="422"/>
      <c r="F17" s="422"/>
      <c r="G17" s="423"/>
      <c r="H17" s="370"/>
      <c r="I17" s="370"/>
      <c r="J17" s="370"/>
      <c r="K17" s="370"/>
      <c r="L17" s="398" t="s">
        <v>65</v>
      </c>
      <c r="M17" s="398"/>
      <c r="N17" s="428"/>
      <c r="O17" s="429"/>
      <c r="P17" s="427"/>
      <c r="Q17" s="430"/>
      <c r="R17" s="431"/>
      <c r="S17" s="432"/>
      <c r="T17" s="431"/>
      <c r="U17" s="426"/>
      <c r="V17" s="356" t="str">
        <f t="shared" si="2"/>
        <v/>
      </c>
      <c r="W17" s="357"/>
      <c r="X17" s="358" t="str">
        <f t="shared" si="0"/>
        <v/>
      </c>
      <c r="Y17" s="358"/>
      <c r="Z17" s="358" t="str">
        <f t="shared" si="3"/>
        <v/>
      </c>
      <c r="AA17" s="359"/>
      <c r="AD17" s="37" t="e">
        <f t="shared" si="4"/>
        <v>#VALUE!</v>
      </c>
      <c r="AE17" s="37" t="e">
        <f t="shared" si="5"/>
        <v>#VALUE!</v>
      </c>
      <c r="AG17" s="40" t="b">
        <v>0</v>
      </c>
      <c r="AH17" s="37" t="str">
        <f t="shared" si="6"/>
        <v>エラー</v>
      </c>
      <c r="AI17" s="37" t="str">
        <f t="shared" si="7"/>
        <v>エラー</v>
      </c>
      <c r="AK17" s="37" t="e">
        <f>IF(共通条件・結果!$AA$7="８（Ⅵ）",0.01*(16+19*(2*R17+T17)/P17),0.01*(16+24*(2*R17+T17)/P17))</f>
        <v>#DIV/0!</v>
      </c>
      <c r="AL17" s="37" t="e">
        <f t="shared" si="8"/>
        <v>#DIV/0!</v>
      </c>
      <c r="AN17" s="37" t="e">
        <f>IF(共通条件・結果!$AA$7="８地域",H17,IF(AO17="FALSE",H17,IF(L17="風除室",1/((1/H17)+0.1),0.5*H17+0.5*(1/((1/H17)+AO17)))))</f>
        <v>#DIV/0!</v>
      </c>
      <c r="AO17" s="39" t="b">
        <f t="shared" si="1"/>
        <v>0</v>
      </c>
    </row>
    <row r="18" spans="2:41" s="37" customFormat="1" ht="21.95" customHeight="1">
      <c r="B18" s="419"/>
      <c r="C18" s="420"/>
      <c r="D18" s="421"/>
      <c r="E18" s="422"/>
      <c r="F18" s="422"/>
      <c r="G18" s="423"/>
      <c r="H18" s="370"/>
      <c r="I18" s="370"/>
      <c r="J18" s="370"/>
      <c r="K18" s="370"/>
      <c r="L18" s="398" t="s">
        <v>65</v>
      </c>
      <c r="M18" s="398"/>
      <c r="N18" s="428"/>
      <c r="O18" s="429"/>
      <c r="P18" s="427"/>
      <c r="Q18" s="430"/>
      <c r="R18" s="424"/>
      <c r="S18" s="425"/>
      <c r="T18" s="426"/>
      <c r="U18" s="427"/>
      <c r="V18" s="356" t="str">
        <f t="shared" si="2"/>
        <v/>
      </c>
      <c r="W18" s="357"/>
      <c r="X18" s="358" t="str">
        <f t="shared" si="0"/>
        <v/>
      </c>
      <c r="Y18" s="358"/>
      <c r="Z18" s="358" t="str">
        <f t="shared" si="3"/>
        <v/>
      </c>
      <c r="AA18" s="359"/>
      <c r="AD18" s="37" t="e">
        <f t="shared" si="4"/>
        <v>#VALUE!</v>
      </c>
      <c r="AE18" s="37" t="e">
        <f t="shared" si="5"/>
        <v>#VALUE!</v>
      </c>
      <c r="AG18" s="40" t="b">
        <v>0</v>
      </c>
      <c r="AH18" s="37" t="str">
        <f t="shared" si="6"/>
        <v>エラー</v>
      </c>
      <c r="AI18" s="37" t="str">
        <f t="shared" si="7"/>
        <v>エラー</v>
      </c>
      <c r="AK18" s="37" t="e">
        <f>IF(共通条件・結果!$AA$7="８（Ⅵ）",0.01*(16+19*(2*R18+T18)/P18),0.01*(16+24*(2*R18+T18)/P18))</f>
        <v>#DIV/0!</v>
      </c>
      <c r="AL18" s="37" t="e">
        <f t="shared" si="8"/>
        <v>#DIV/0!</v>
      </c>
      <c r="AN18" s="37" t="e">
        <f>IF(共通条件・結果!$AA$7="８地域",H18,IF(AO18="FALSE",H18,IF(L18="風除室",1/((1/H18)+0.1),0.5*H18+0.5*(1/((1/H18)+AO18)))))</f>
        <v>#DIV/0!</v>
      </c>
      <c r="AO18" s="39" t="b">
        <f t="shared" si="1"/>
        <v>0</v>
      </c>
    </row>
    <row r="19" spans="2:41" s="37" customFormat="1" ht="21.95" customHeight="1" thickBot="1">
      <c r="B19" s="350"/>
      <c r="C19" s="417"/>
      <c r="D19" s="394"/>
      <c r="E19" s="395"/>
      <c r="F19" s="395"/>
      <c r="G19" s="396"/>
      <c r="H19" s="397"/>
      <c r="I19" s="397"/>
      <c r="J19" s="397"/>
      <c r="K19" s="397"/>
      <c r="L19" s="410" t="s">
        <v>65</v>
      </c>
      <c r="M19" s="410"/>
      <c r="N19" s="411"/>
      <c r="O19" s="412"/>
      <c r="P19" s="413"/>
      <c r="Q19" s="414"/>
      <c r="R19" s="415"/>
      <c r="S19" s="416"/>
      <c r="T19" s="418"/>
      <c r="U19" s="413"/>
      <c r="V19" s="356" t="str">
        <f t="shared" si="2"/>
        <v/>
      </c>
      <c r="W19" s="357"/>
      <c r="X19" s="358" t="str">
        <f t="shared" si="0"/>
        <v/>
      </c>
      <c r="Y19" s="358"/>
      <c r="Z19" s="367" t="str">
        <f t="shared" si="3"/>
        <v/>
      </c>
      <c r="AA19" s="374"/>
      <c r="AD19" s="37" t="e">
        <f t="shared" si="4"/>
        <v>#VALUE!</v>
      </c>
      <c r="AE19" s="37" t="e">
        <f t="shared" si="5"/>
        <v>#VALUE!</v>
      </c>
      <c r="AG19" s="40" t="b">
        <v>0</v>
      </c>
      <c r="AH19" s="37" t="str">
        <f t="shared" si="6"/>
        <v>エラー</v>
      </c>
      <c r="AI19" s="37" t="str">
        <f t="shared" si="7"/>
        <v>エラー</v>
      </c>
      <c r="AK19" s="37" t="e">
        <f>IF(共通条件・結果!$AA$7="８（Ⅵ）",0.01*(16+19*(2*R19+T19)/P19),0.01*(16+24*(2*R19+T19)/P19))</f>
        <v>#DIV/0!</v>
      </c>
      <c r="AL19" s="37" t="e">
        <f t="shared" si="8"/>
        <v>#DIV/0!</v>
      </c>
      <c r="AN19" s="37" t="e">
        <f>IF(共通条件・結果!$AA$7="８地域",H19,IF(AO19="FALSE",H19,IF(L19="風除室",1/((1/H19)+0.1),0.5*H19+0.5*(1/((1/H19)+AO19)))))</f>
        <v>#DIV/0!</v>
      </c>
      <c r="AO19" s="39" t="b">
        <f t="shared" si="1"/>
        <v>0</v>
      </c>
    </row>
    <row r="20" spans="2:41" s="37" customFormat="1" ht="21.95" customHeight="1" thickBot="1">
      <c r="B20" s="408" t="s">
        <v>123</v>
      </c>
      <c r="C20" s="409"/>
      <c r="D20" s="409"/>
      <c r="E20" s="409"/>
      <c r="F20" s="409"/>
      <c r="G20" s="409"/>
      <c r="H20" s="409"/>
      <c r="I20" s="409"/>
      <c r="J20" s="409"/>
      <c r="K20" s="409"/>
      <c r="L20" s="409"/>
      <c r="M20" s="409"/>
      <c r="N20" s="409"/>
      <c r="O20" s="409"/>
      <c r="P20" s="409"/>
      <c r="Q20" s="409"/>
      <c r="R20" s="409"/>
      <c r="S20" s="409"/>
      <c r="T20" s="409"/>
      <c r="U20" s="409"/>
      <c r="V20" s="344">
        <f>SUM(V8:W19)</f>
        <v>0</v>
      </c>
      <c r="W20" s="344"/>
      <c r="X20" s="344">
        <f>SUM(X8:Y19)</f>
        <v>0</v>
      </c>
      <c r="Y20" s="344"/>
      <c r="Z20" s="344">
        <f>SUM(Z8:AA19)</f>
        <v>0</v>
      </c>
      <c r="AA20" s="345"/>
    </row>
    <row r="21" spans="2:41" s="37" customFormat="1" ht="9.9499999999999993" customHeight="1">
      <c r="AN21" s="401"/>
      <c r="AO21" s="401"/>
    </row>
    <row r="22" spans="2:41" s="37" customFormat="1" ht="21.95" customHeight="1" thickBot="1">
      <c r="J22" s="38" t="s">
        <v>15</v>
      </c>
      <c r="K22" s="38"/>
      <c r="L22" s="38"/>
    </row>
    <row r="23" spans="2:41" s="37" customFormat="1" ht="21.95" customHeight="1">
      <c r="J23" s="465" t="s">
        <v>16</v>
      </c>
      <c r="K23" s="486"/>
      <c r="L23" s="486"/>
      <c r="M23" s="466"/>
      <c r="N23" s="361" t="s">
        <v>91</v>
      </c>
      <c r="O23" s="361"/>
      <c r="P23" s="361"/>
      <c r="Q23" s="361"/>
      <c r="R23" s="361" t="s">
        <v>7</v>
      </c>
      <c r="S23" s="361"/>
      <c r="T23" s="402" t="s">
        <v>10</v>
      </c>
      <c r="U23" s="403"/>
      <c r="V23" s="360" t="s">
        <v>68</v>
      </c>
      <c r="W23" s="361"/>
      <c r="X23" s="360" t="s">
        <v>67</v>
      </c>
      <c r="Y23" s="361"/>
      <c r="Z23" s="361" t="s">
        <v>13</v>
      </c>
      <c r="AA23" s="363"/>
      <c r="AN23" s="401" t="s">
        <v>89</v>
      </c>
      <c r="AO23" s="401"/>
    </row>
    <row r="24" spans="2:41" s="37" customFormat="1" ht="21.95" customHeight="1" thickBot="1">
      <c r="J24" s="467"/>
      <c r="K24" s="475"/>
      <c r="L24" s="475"/>
      <c r="M24" s="438"/>
      <c r="N24" s="405" t="s">
        <v>9</v>
      </c>
      <c r="O24" s="406"/>
      <c r="P24" s="407" t="s">
        <v>8</v>
      </c>
      <c r="Q24" s="362"/>
      <c r="R24" s="362"/>
      <c r="S24" s="362"/>
      <c r="T24" s="404"/>
      <c r="U24" s="404"/>
      <c r="V24" s="362"/>
      <c r="W24" s="362"/>
      <c r="X24" s="362"/>
      <c r="Y24" s="362"/>
      <c r="Z24" s="362"/>
      <c r="AA24" s="364"/>
      <c r="AN24" s="97" t="s">
        <v>87</v>
      </c>
      <c r="AO24" s="37" t="s">
        <v>85</v>
      </c>
    </row>
    <row r="25" spans="2:41" s="37" customFormat="1" ht="21.95" customHeight="1">
      <c r="C25" s="41"/>
      <c r="D25" s="41"/>
      <c r="E25" s="41"/>
      <c r="F25" s="41"/>
      <c r="G25" s="41"/>
      <c r="H25" s="41"/>
      <c r="I25" s="41"/>
      <c r="J25" s="433"/>
      <c r="K25" s="487"/>
      <c r="L25" s="487"/>
      <c r="M25" s="446"/>
      <c r="N25" s="435"/>
      <c r="O25" s="436"/>
      <c r="P25" s="436"/>
      <c r="Q25" s="437"/>
      <c r="R25" s="392"/>
      <c r="S25" s="392"/>
      <c r="T25" s="485"/>
      <c r="U25" s="485"/>
      <c r="V25" s="368" t="str">
        <f>IF(N25="","",N25*P25*R25*0.034*$V$4)</f>
        <v/>
      </c>
      <c r="W25" s="368"/>
      <c r="X25" s="368" t="str">
        <f>IF(N25="","",IF(ISERROR(N25*P25*R25*0.034*$X$4),"-",N25*P25*R25*0.034*$X$4))</f>
        <v/>
      </c>
      <c r="Y25" s="368"/>
      <c r="Z25" s="368" t="str">
        <f>IF(N25="","",N25*P25*AN25)</f>
        <v/>
      </c>
      <c r="AA25" s="369"/>
      <c r="AN25" s="37">
        <f>IF(共通条件・結果!$AA$7="８地域",R25,IF(AO25="FALSE",R25,IF(T25="風除室",1/((1/R25)+0.1),0.5*R25+0.5*(1/((1/R25)+AO25)))))</f>
        <v>0</v>
      </c>
      <c r="AO25" s="39" t="str">
        <f>IF(T25="","FALSE",IF(T25="雨戸",0.1,IF(T25="ｼｬｯﾀｰ",0.1,IF(T25="障子",0.18,IF(T25="風除室",0.1)))))</f>
        <v>FALSE</v>
      </c>
    </row>
    <row r="26" spans="2:41" s="37" customFormat="1" ht="21.95" customHeight="1">
      <c r="C26" s="41"/>
      <c r="D26" s="41"/>
      <c r="E26" s="41"/>
      <c r="F26" s="41"/>
      <c r="G26" s="41"/>
      <c r="H26" s="41"/>
      <c r="I26" s="41"/>
      <c r="J26" s="419"/>
      <c r="K26" s="494"/>
      <c r="L26" s="494"/>
      <c r="M26" s="445"/>
      <c r="N26" s="488"/>
      <c r="O26" s="492"/>
      <c r="P26" s="493"/>
      <c r="Q26" s="489"/>
      <c r="R26" s="488"/>
      <c r="S26" s="489"/>
      <c r="T26" s="495"/>
      <c r="U26" s="496"/>
      <c r="V26" s="356" t="str">
        <f>IF(N26="","",N26*P26*R26*0.034*$V$4)</f>
        <v/>
      </c>
      <c r="W26" s="357"/>
      <c r="X26" s="356" t="str">
        <f>IF(N26="","",IF(ISERROR(N26*P26*R26*0.034*$X$4),"-",N26*P26*R26*0.034*$X$4))</f>
        <v/>
      </c>
      <c r="Y26" s="357"/>
      <c r="Z26" s="356" t="str">
        <f>IF(N26="","",N26*P26*AN26)</f>
        <v/>
      </c>
      <c r="AA26" s="375"/>
      <c r="AN26" s="37">
        <f>IF(共通条件・結果!$AA$7="８地域",R26,IF(AO26="FALSE",R26,IF(T26="風除室",1/((1/R26)+0.1),0.5*R26+0.5*(1/((1/R26)+AO26)))))</f>
        <v>0</v>
      </c>
      <c r="AO26" s="95" t="str">
        <f>IF(T26="","FALSE",IF(T26="雨戸",0.1,IF(T26="ｼｬｯﾀｰ",0.1,IF(T26="障子",0.18,IF(T26="風除室",0.1)))))</f>
        <v>FALSE</v>
      </c>
    </row>
    <row r="27" spans="2:41" s="37" customFormat="1" ht="21.95" customHeight="1" thickBot="1">
      <c r="C27" s="41"/>
      <c r="D27" s="41"/>
      <c r="E27" s="41"/>
      <c r="F27" s="41"/>
      <c r="G27" s="41"/>
      <c r="H27" s="41"/>
      <c r="I27" s="41"/>
      <c r="J27" s="350"/>
      <c r="K27" s="464"/>
      <c r="L27" s="464"/>
      <c r="M27" s="351"/>
      <c r="N27" s="394"/>
      <c r="O27" s="395"/>
      <c r="P27" s="395"/>
      <c r="Q27" s="396"/>
      <c r="R27" s="397"/>
      <c r="S27" s="397"/>
      <c r="T27" s="398" t="s">
        <v>65</v>
      </c>
      <c r="U27" s="398"/>
      <c r="V27" s="399" t="str">
        <f>IF(N27="","",N27*P27*R27*0.034*$V$4)</f>
        <v/>
      </c>
      <c r="W27" s="399"/>
      <c r="X27" s="399" t="str">
        <f>IF(N27="","",IF(ISERROR(N27*P27*R27*0.034*$X$4),"-",N27*P27*R27*0.034*$X$4))</f>
        <v/>
      </c>
      <c r="Y27" s="399"/>
      <c r="Z27" s="399" t="str">
        <f>IF(N27="","",N27*P27*AN27)</f>
        <v/>
      </c>
      <c r="AA27" s="400"/>
      <c r="AN27" s="37" t="e">
        <f>IF(共通条件・結果!$AA$7="８地域",R27,IF(AO27="FALSE",R27,IF(T27="風除室",1/((1/R27)+0.1),0.5*R27+0.5*(1/((1/R27)+AO27)))))</f>
        <v>#DIV/0!</v>
      </c>
      <c r="AO27" s="39" t="b">
        <f>IF(T27="","FALSE",IF(T27="雨戸",0.1,IF(T27="ｼｬｯﾀｰ",0.1,IF(T27="障子",0.18,IF(T27="風除室",0.1)))))</f>
        <v>0</v>
      </c>
    </row>
    <row r="28" spans="2:41" s="37" customFormat="1" ht="21.95" customHeight="1" thickBot="1">
      <c r="C28" s="41"/>
      <c r="D28" s="41"/>
      <c r="E28" s="41"/>
      <c r="F28" s="41"/>
      <c r="G28" s="41"/>
      <c r="H28" s="41"/>
      <c r="I28" s="41"/>
      <c r="J28" s="408" t="s">
        <v>145</v>
      </c>
      <c r="K28" s="409"/>
      <c r="L28" s="409"/>
      <c r="M28" s="409"/>
      <c r="N28" s="409"/>
      <c r="O28" s="409"/>
      <c r="P28" s="409"/>
      <c r="Q28" s="409"/>
      <c r="R28" s="409"/>
      <c r="S28" s="409"/>
      <c r="T28" s="409"/>
      <c r="U28" s="468"/>
      <c r="V28" s="344">
        <f>SUM(V25:W27)</f>
        <v>0</v>
      </c>
      <c r="W28" s="344"/>
      <c r="X28" s="344">
        <f>SUM(X25:Y27)</f>
        <v>0</v>
      </c>
      <c r="Y28" s="344"/>
      <c r="Z28" s="344">
        <f>SUM(Z25:AA27)</f>
        <v>0</v>
      </c>
      <c r="AA28" s="345"/>
      <c r="AO28" s="39"/>
    </row>
    <row r="29" spans="2:41" s="37" customFormat="1" ht="9.9499999999999993" customHeight="1">
      <c r="C29" s="41"/>
      <c r="D29" s="41"/>
      <c r="E29" s="41"/>
      <c r="F29" s="41"/>
      <c r="G29" s="41"/>
      <c r="H29" s="41"/>
      <c r="I29" s="41"/>
      <c r="J29" s="41"/>
      <c r="AO29" s="39"/>
    </row>
    <row r="30" spans="2:41" s="37" customFormat="1" ht="21.95" customHeight="1" thickBot="1">
      <c r="C30" s="41"/>
      <c r="D30" s="41"/>
      <c r="E30" s="41"/>
      <c r="F30" s="41"/>
      <c r="G30" s="41"/>
      <c r="H30" s="41"/>
      <c r="I30" s="41"/>
      <c r="J30" s="38" t="s">
        <v>17</v>
      </c>
      <c r="K30" s="38"/>
      <c r="L30" s="38"/>
      <c r="AO30" s="39"/>
    </row>
    <row r="31" spans="2:41" s="37" customFormat="1" ht="21.95" customHeight="1">
      <c r="C31" s="41"/>
      <c r="D31" s="41"/>
      <c r="E31" s="41"/>
      <c r="F31" s="41"/>
      <c r="G31" s="41"/>
      <c r="H31" s="41"/>
      <c r="I31" s="41"/>
      <c r="J31" s="465" t="s">
        <v>0</v>
      </c>
      <c r="K31" s="466"/>
      <c r="L31" s="376" t="s">
        <v>53</v>
      </c>
      <c r="M31" s="377"/>
      <c r="N31" s="376" t="s">
        <v>170</v>
      </c>
      <c r="O31" s="377"/>
      <c r="P31" s="380" t="s">
        <v>54</v>
      </c>
      <c r="Q31" s="381"/>
      <c r="R31" s="361" t="s">
        <v>7</v>
      </c>
      <c r="S31" s="361"/>
      <c r="T31" s="384" t="s">
        <v>150</v>
      </c>
      <c r="U31" s="385"/>
      <c r="V31" s="360" t="s">
        <v>68</v>
      </c>
      <c r="W31" s="361"/>
      <c r="X31" s="360" t="s">
        <v>67</v>
      </c>
      <c r="Y31" s="361"/>
      <c r="Z31" s="361" t="s">
        <v>13</v>
      </c>
      <c r="AA31" s="363"/>
      <c r="AO31" s="39"/>
    </row>
    <row r="32" spans="2:41" s="37" customFormat="1" ht="21.95" customHeight="1" thickBot="1">
      <c r="C32" s="41"/>
      <c r="D32" s="41"/>
      <c r="E32" s="41"/>
      <c r="F32" s="41"/>
      <c r="G32" s="41"/>
      <c r="H32" s="41"/>
      <c r="I32" s="41"/>
      <c r="J32" s="467"/>
      <c r="K32" s="438"/>
      <c r="L32" s="378"/>
      <c r="M32" s="379"/>
      <c r="N32" s="378"/>
      <c r="O32" s="379"/>
      <c r="P32" s="382"/>
      <c r="Q32" s="383"/>
      <c r="R32" s="362"/>
      <c r="S32" s="362"/>
      <c r="T32" s="386"/>
      <c r="U32" s="387"/>
      <c r="V32" s="362"/>
      <c r="W32" s="362"/>
      <c r="X32" s="362"/>
      <c r="Y32" s="362"/>
      <c r="Z32" s="362"/>
      <c r="AA32" s="364"/>
      <c r="AE32" s="37" t="s">
        <v>140</v>
      </c>
      <c r="AF32" s="37" t="s">
        <v>141</v>
      </c>
    </row>
    <row r="33" spans="2:32" s="37" customFormat="1" ht="21.95" customHeight="1">
      <c r="C33" s="41"/>
      <c r="D33" s="41"/>
      <c r="E33" s="41"/>
      <c r="F33" s="41"/>
      <c r="G33" s="41"/>
      <c r="H33" s="41"/>
      <c r="I33" s="41"/>
      <c r="J33" s="433" t="s">
        <v>1</v>
      </c>
      <c r="K33" s="446"/>
      <c r="L33" s="388">
        <v>0</v>
      </c>
      <c r="M33" s="389"/>
      <c r="N33" s="388">
        <f>Q41+U41</f>
        <v>0</v>
      </c>
      <c r="O33" s="389"/>
      <c r="P33" s="390">
        <f>IF(L33="","",L33-N33)</f>
        <v>0</v>
      </c>
      <c r="Q33" s="391"/>
      <c r="R33" s="392">
        <f>ROUND((IF(L33="","",部位U計算!$F$52)),3)</f>
        <v>0.49</v>
      </c>
      <c r="S33" s="392"/>
      <c r="T33" s="393"/>
      <c r="U33" s="393"/>
      <c r="V33" s="358">
        <f>IF(P33="","",IF(AD33=TRUE,0,P33*R33*0.034*$V$4))</f>
        <v>0</v>
      </c>
      <c r="W33" s="358"/>
      <c r="X33" s="356">
        <f>IF(P33="","",IF(ISERROR(P33*R33*0.034*$X$4),"-",IF(AD33=TRUE,0,P33*R33*0.034*$X$4)))</f>
        <v>0</v>
      </c>
      <c r="Y33" s="357"/>
      <c r="Z33" s="368">
        <f>IF(R33="","",IF(AD33=TRUE,0.7*R33*P33,R33*P33))</f>
        <v>0</v>
      </c>
      <c r="AA33" s="369"/>
      <c r="AD33" s="40" t="b">
        <v>0</v>
      </c>
      <c r="AE33" s="40">
        <f>IF(AD33=TRUE,0.7,1)</f>
        <v>1</v>
      </c>
      <c r="AF33" s="40" t="str">
        <f>IF(AD33=TRUE,0,"セル")</f>
        <v>セル</v>
      </c>
    </row>
    <row r="34" spans="2:32" s="37" customFormat="1" ht="21.95" customHeight="1">
      <c r="C34" s="41"/>
      <c r="D34" s="41"/>
      <c r="E34" s="41"/>
      <c r="F34" s="41"/>
      <c r="G34" s="41"/>
      <c r="H34" s="41"/>
      <c r="I34" s="41"/>
      <c r="J34" s="419" t="s">
        <v>387</v>
      </c>
      <c r="K34" s="445"/>
      <c r="L34" s="488">
        <v>0</v>
      </c>
      <c r="M34" s="489"/>
      <c r="N34" s="488"/>
      <c r="O34" s="489"/>
      <c r="P34" s="490">
        <f t="shared" ref="P34:P35" si="18">IF(L34="","",L34-N34)</f>
        <v>0</v>
      </c>
      <c r="Q34" s="491"/>
      <c r="R34" s="488">
        <f>ROUND(IF(L34="","",部位U計算!$F$100),2)</f>
        <v>0.49</v>
      </c>
      <c r="S34" s="489"/>
      <c r="T34" s="498"/>
      <c r="U34" s="499"/>
      <c r="V34" s="356">
        <f t="shared" ref="V34:V35" si="19">IF(P34="","",IF(AD34=TRUE,0,P34*R34*0.034*$V$4))</f>
        <v>0</v>
      </c>
      <c r="W34" s="357"/>
      <c r="X34" s="356">
        <f t="shared" ref="X34:X35" si="20">IF(P34="","",IF(ISERROR(P34*R34*0.034*$X$4),"-",IF(AD34=TRUE,0,P34*R34*0.034*$X$4)))</f>
        <v>0</v>
      </c>
      <c r="Y34" s="357"/>
      <c r="Z34" s="356">
        <f t="shared" ref="Z34:Z35" si="21">IF(R34="","",IF(AD34=TRUE,0.7*R34*P34,R34*P34))</f>
        <v>0</v>
      </c>
      <c r="AA34" s="375"/>
      <c r="AD34" s="40" t="b">
        <v>0</v>
      </c>
      <c r="AE34" s="40">
        <f t="shared" ref="AE34:AE35" si="22">IF(AD34=TRUE,0.7,1)</f>
        <v>1</v>
      </c>
      <c r="AF34" s="40" t="str">
        <f t="shared" ref="AF34:AF35" si="23">IF(AD34=TRUE,0,"セル")</f>
        <v>セル</v>
      </c>
    </row>
    <row r="35" spans="2:32" s="37" customFormat="1" ht="21.95" customHeight="1">
      <c r="C35" s="41"/>
      <c r="D35" s="41"/>
      <c r="E35" s="41"/>
      <c r="F35" s="41"/>
      <c r="G35" s="41"/>
      <c r="H35" s="41"/>
      <c r="I35" s="41"/>
      <c r="J35" s="419" t="s">
        <v>387</v>
      </c>
      <c r="K35" s="445"/>
      <c r="L35" s="488">
        <v>0</v>
      </c>
      <c r="M35" s="489"/>
      <c r="N35" s="488"/>
      <c r="O35" s="489"/>
      <c r="P35" s="490">
        <f t="shared" si="18"/>
        <v>0</v>
      </c>
      <c r="Q35" s="491"/>
      <c r="R35" s="488">
        <f>ROUND(IF(L35="","",部位U計算!$F$114),2)</f>
        <v>1.18</v>
      </c>
      <c r="S35" s="489"/>
      <c r="T35" s="512"/>
      <c r="U35" s="513"/>
      <c r="V35" s="356">
        <f t="shared" si="19"/>
        <v>0</v>
      </c>
      <c r="W35" s="357"/>
      <c r="X35" s="356">
        <f t="shared" si="20"/>
        <v>0</v>
      </c>
      <c r="Y35" s="357"/>
      <c r="Z35" s="356">
        <f t="shared" si="21"/>
        <v>0</v>
      </c>
      <c r="AA35" s="375"/>
      <c r="AD35" s="40" t="b">
        <v>1</v>
      </c>
      <c r="AE35" s="40">
        <f t="shared" si="22"/>
        <v>0.7</v>
      </c>
      <c r="AF35" s="40">
        <f t="shared" si="23"/>
        <v>0</v>
      </c>
    </row>
    <row r="36" spans="2:32" s="37" customFormat="1" ht="21.95" customHeight="1">
      <c r="C36" s="41"/>
      <c r="D36" s="41"/>
      <c r="E36" s="41"/>
      <c r="F36" s="41"/>
      <c r="G36" s="41"/>
      <c r="H36" s="41"/>
      <c r="I36" s="41"/>
      <c r="J36" s="419" t="s">
        <v>388</v>
      </c>
      <c r="K36" s="445"/>
      <c r="L36" s="488">
        <v>0</v>
      </c>
      <c r="M36" s="489"/>
      <c r="N36" s="488"/>
      <c r="O36" s="489"/>
      <c r="P36" s="490">
        <f>IF(L36="","",L36-N36)</f>
        <v>0</v>
      </c>
      <c r="Q36" s="491"/>
      <c r="R36" s="370">
        <f>ROUND(IF(L36="","",部位U計算!$F$128),2)</f>
        <v>0.49</v>
      </c>
      <c r="S36" s="370"/>
      <c r="T36" s="371"/>
      <c r="U36" s="371"/>
      <c r="V36" s="358">
        <f>IF(P36="","",IF(AD36=TRUE,0,P36*R36*0.034*$V$4))</f>
        <v>0</v>
      </c>
      <c r="W36" s="358"/>
      <c r="X36" s="356">
        <f>IF(P36="","",IF(ISERROR(P36*R36*0.034*$X$4),"-",IF(AD36=TRUE,0,P36*R36*0.034*$X$4)))</f>
        <v>0</v>
      </c>
      <c r="Y36" s="357"/>
      <c r="Z36" s="358">
        <f>IF(R36="","",IF(AD36=TRUE,0.7*R36*P36,R36*P36))</f>
        <v>0</v>
      </c>
      <c r="AA36" s="359"/>
      <c r="AD36" s="40" t="b">
        <v>0</v>
      </c>
      <c r="AE36" s="40">
        <f>IF(AD36=TRUE,0.7,1)</f>
        <v>1</v>
      </c>
      <c r="AF36" s="40" t="str">
        <f>IF(AD36=TRUE,0,"セル")</f>
        <v>セル</v>
      </c>
    </row>
    <row r="37" spans="2:32" s="37" customFormat="1" ht="21.95" customHeight="1" thickBot="1">
      <c r="J37" s="350" t="s">
        <v>388</v>
      </c>
      <c r="K37" s="351"/>
      <c r="L37" s="346">
        <v>0</v>
      </c>
      <c r="M37" s="347"/>
      <c r="N37" s="346"/>
      <c r="O37" s="347"/>
      <c r="P37" s="348">
        <f>IF(L37="","",L37-N37)</f>
        <v>0</v>
      </c>
      <c r="Q37" s="349"/>
      <c r="R37" s="365">
        <f>ROUND(IF(L37="","",部位U計算!$F$142),2)</f>
        <v>1.18</v>
      </c>
      <c r="S37" s="365"/>
      <c r="T37" s="366"/>
      <c r="U37" s="366"/>
      <c r="V37" s="367">
        <f>IF(P37="","",IF(AD37=TRUE,0,P37*R37*0.034*$V$4))</f>
        <v>0</v>
      </c>
      <c r="W37" s="367"/>
      <c r="X37" s="372">
        <f>IF(P37="","",IF(ISERROR(P37*R37*0.034*$X$4),"-",IF(AD37=TRUE,0,P37*R37*0.034*$X$4)))</f>
        <v>0</v>
      </c>
      <c r="Y37" s="373"/>
      <c r="Z37" s="367">
        <f>IF(R37="","",IF(AD37=TRUE,0.7*R37*P37,R37*P37))</f>
        <v>0</v>
      </c>
      <c r="AA37" s="374"/>
      <c r="AD37" s="40" t="b">
        <v>1</v>
      </c>
      <c r="AE37" s="40">
        <f>IF(AD37=TRUE,0.7,1)</f>
        <v>0.7</v>
      </c>
      <c r="AF37" s="40">
        <f>IF(AD37=TRUE,0,"セル")</f>
        <v>0</v>
      </c>
    </row>
    <row r="38" spans="2:32" s="37" customFormat="1" ht="21.95" customHeight="1" thickBot="1">
      <c r="J38" s="408" t="s">
        <v>124</v>
      </c>
      <c r="K38" s="409"/>
      <c r="L38" s="409"/>
      <c r="M38" s="409"/>
      <c r="N38" s="409"/>
      <c r="O38" s="409"/>
      <c r="P38" s="409"/>
      <c r="Q38" s="409"/>
      <c r="R38" s="409"/>
      <c r="S38" s="409"/>
      <c r="T38" s="409"/>
      <c r="U38" s="468"/>
      <c r="V38" s="344">
        <f>SUM(V33:W37)</f>
        <v>0</v>
      </c>
      <c r="W38" s="344"/>
      <c r="X38" s="344">
        <f>SUM(X33:Y37)</f>
        <v>0</v>
      </c>
      <c r="Y38" s="344"/>
      <c r="Z38" s="344">
        <f>SUM(Z33:AA37)</f>
        <v>0</v>
      </c>
      <c r="AA38" s="345"/>
    </row>
    <row r="39" spans="2:32" s="37" customFormat="1" ht="9.9499999999999993" customHeight="1"/>
    <row r="40" spans="2:32" s="37" customFormat="1" ht="21.95" customHeight="1" thickBot="1">
      <c r="B40" s="38" t="s">
        <v>125</v>
      </c>
    </row>
    <row r="41" spans="2:32" s="37" customFormat="1" ht="21.95" customHeight="1">
      <c r="B41" s="327" t="s">
        <v>104</v>
      </c>
      <c r="C41" s="328"/>
      <c r="D41" s="333" t="s">
        <v>56</v>
      </c>
      <c r="E41" s="334"/>
      <c r="F41" s="334"/>
      <c r="G41" s="334"/>
      <c r="H41" s="334"/>
      <c r="I41" s="334"/>
      <c r="J41" s="335"/>
      <c r="K41" s="42"/>
      <c r="L41" s="336">
        <f>Q41+U41+Y41</f>
        <v>0</v>
      </c>
      <c r="M41" s="336"/>
      <c r="N41" s="336"/>
      <c r="O41" s="42" t="s">
        <v>24</v>
      </c>
      <c r="P41" s="43" t="s">
        <v>23</v>
      </c>
      <c r="Q41" s="337">
        <f>D8*F8+D9*F9+D10*F10+D11*F11+D12*F12+D13*F13+D14*F14+D15*F15+D16*F16+D17*F17+D18*F18+D19*F19</f>
        <v>0</v>
      </c>
      <c r="R41" s="337"/>
      <c r="S41" s="44" t="s">
        <v>25</v>
      </c>
      <c r="T41" s="44" t="s">
        <v>22</v>
      </c>
      <c r="U41" s="338">
        <f>N25*P25+N26*P26+N27*P27</f>
        <v>0</v>
      </c>
      <c r="V41" s="338"/>
      <c r="W41" s="44" t="s">
        <v>25</v>
      </c>
      <c r="X41" s="44" t="s">
        <v>1</v>
      </c>
      <c r="Y41" s="339">
        <f>SUM(P33:Q37)</f>
        <v>0</v>
      </c>
      <c r="Z41" s="339"/>
      <c r="AA41" s="45" t="s">
        <v>19</v>
      </c>
    </row>
    <row r="42" spans="2:32" s="37" customFormat="1" ht="21.95" customHeight="1">
      <c r="B42" s="329"/>
      <c r="C42" s="330"/>
      <c r="D42" s="340" t="s">
        <v>72</v>
      </c>
      <c r="E42" s="341"/>
      <c r="F42" s="341"/>
      <c r="G42" s="341"/>
      <c r="H42" s="341"/>
      <c r="I42" s="341"/>
      <c r="J42" s="342"/>
      <c r="K42" s="46"/>
      <c r="L42" s="46"/>
      <c r="M42" s="46"/>
      <c r="N42" s="46"/>
      <c r="O42" s="46"/>
      <c r="P42" s="46"/>
      <c r="Q42" s="46"/>
      <c r="R42" s="46"/>
      <c r="S42" s="46"/>
      <c r="T42" s="46"/>
      <c r="U42" s="46"/>
      <c r="V42" s="46"/>
      <c r="W42" s="343">
        <f>V20+V28+V38</f>
        <v>0</v>
      </c>
      <c r="X42" s="343"/>
      <c r="Y42" s="343"/>
      <c r="Z42" s="46"/>
      <c r="AA42" s="47"/>
    </row>
    <row r="43" spans="2:32" s="37" customFormat="1" ht="21.95" customHeight="1">
      <c r="B43" s="329"/>
      <c r="C43" s="330"/>
      <c r="D43" s="340" t="s">
        <v>73</v>
      </c>
      <c r="E43" s="341"/>
      <c r="F43" s="341"/>
      <c r="G43" s="341"/>
      <c r="H43" s="341"/>
      <c r="I43" s="341"/>
      <c r="J43" s="342"/>
      <c r="K43" s="46"/>
      <c r="L43" s="46"/>
      <c r="M43" s="46"/>
      <c r="N43" s="46"/>
      <c r="O43" s="46"/>
      <c r="P43" s="46"/>
      <c r="Q43" s="46"/>
      <c r="R43" s="46"/>
      <c r="S43" s="46"/>
      <c r="T43" s="46"/>
      <c r="U43" s="46"/>
      <c r="V43" s="46"/>
      <c r="W43" s="343">
        <f>X20+X28+X38</f>
        <v>0</v>
      </c>
      <c r="X43" s="343"/>
      <c r="Y43" s="343"/>
      <c r="Z43" s="46"/>
      <c r="AA43" s="47"/>
    </row>
    <row r="44" spans="2:32" s="37" customFormat="1" ht="21.95" customHeight="1" thickBot="1">
      <c r="B44" s="331"/>
      <c r="C44" s="332"/>
      <c r="D44" s="352" t="s">
        <v>20</v>
      </c>
      <c r="E44" s="353"/>
      <c r="F44" s="353"/>
      <c r="G44" s="353"/>
      <c r="H44" s="353"/>
      <c r="I44" s="353"/>
      <c r="J44" s="354"/>
      <c r="K44" s="48"/>
      <c r="L44" s="48"/>
      <c r="M44" s="48"/>
      <c r="N44" s="48"/>
      <c r="O44" s="48"/>
      <c r="P44" s="48"/>
      <c r="Q44" s="48"/>
      <c r="R44" s="48"/>
      <c r="S44" s="48"/>
      <c r="T44" s="48"/>
      <c r="U44" s="48"/>
      <c r="V44" s="48"/>
      <c r="W44" s="355">
        <f>Z20+Z28+Z38</f>
        <v>0</v>
      </c>
      <c r="X44" s="355"/>
      <c r="Y44" s="355"/>
      <c r="Z44" s="49" t="s">
        <v>21</v>
      </c>
      <c r="AA44" s="50"/>
    </row>
    <row r="45" spans="2:32" s="37" customFormat="1" ht="21.95" customHeight="1"/>
    <row r="46" spans="2:32" s="37" customFormat="1" ht="21.95" customHeight="1"/>
    <row r="47" spans="2:32" s="37" customFormat="1" ht="21.95" customHeight="1"/>
    <row r="48" spans="2:32" s="37" customFormat="1" ht="21.95" customHeight="1"/>
    <row r="49" s="37" customFormat="1" ht="21.95" customHeight="1"/>
    <row r="50" s="37" customFormat="1" ht="21.95" customHeight="1"/>
    <row r="51" s="37" customFormat="1" ht="21.95" customHeight="1"/>
    <row r="52" s="37" customFormat="1" ht="21.95" customHeight="1"/>
    <row r="53" s="37" customFormat="1" ht="21.95" customHeight="1"/>
    <row r="54" s="37" customFormat="1" ht="21.95" customHeight="1"/>
    <row r="55" s="37" customFormat="1" ht="21.95" customHeight="1"/>
    <row r="56" s="37" customFormat="1" ht="21.95" customHeight="1"/>
    <row r="57" s="37" customFormat="1" ht="21.95" customHeight="1"/>
    <row r="58" s="37" customFormat="1" ht="21.95" customHeight="1"/>
    <row r="59" s="37" customFormat="1" ht="21.95" customHeight="1"/>
    <row r="60" s="37" customFormat="1" ht="21.95" customHeight="1"/>
    <row r="61" s="37" customFormat="1" ht="24.95" customHeight="1"/>
    <row r="62" s="37" customFormat="1" ht="24.95" customHeight="1"/>
    <row r="63" s="37" customFormat="1" ht="24.95" customHeight="1"/>
    <row r="64" s="37" customFormat="1" ht="24.95" customHeight="1"/>
    <row r="65" s="37" customFormat="1" ht="24.95" customHeight="1"/>
    <row r="66" s="37" customFormat="1" ht="24.95" customHeight="1"/>
    <row r="67" s="37" customFormat="1" ht="24.95" customHeight="1"/>
    <row r="68" s="37" customFormat="1" ht="24.95" customHeight="1"/>
    <row r="69" s="37" customFormat="1" ht="24.95" customHeight="1"/>
    <row r="70" s="37" customFormat="1" ht="24.95" customHeight="1"/>
    <row r="71" s="37" customFormat="1" ht="24.95" customHeight="1"/>
    <row r="72" s="37" customFormat="1" ht="24.95" customHeight="1"/>
    <row r="73" s="37" customFormat="1" ht="24.95" customHeight="1"/>
    <row r="74" s="37" customFormat="1" ht="24.95" customHeight="1"/>
    <row r="75" s="37" customFormat="1" ht="24.95" customHeight="1"/>
    <row r="76" s="37" customFormat="1" ht="24.95" customHeight="1"/>
    <row r="77" s="37" customFormat="1" ht="24.95" customHeight="1"/>
    <row r="78" s="37" customFormat="1" ht="24.95" customHeight="1"/>
    <row r="79" s="37" customFormat="1" ht="24.95" customHeight="1"/>
    <row r="80" s="37" customFormat="1" ht="24.95" customHeight="1"/>
    <row r="81" s="37" customFormat="1" ht="24.95" customHeight="1"/>
    <row r="82" s="37" customFormat="1" ht="24.95" customHeight="1"/>
    <row r="83" s="37" customFormat="1" ht="24.95" customHeight="1"/>
    <row r="84" s="37" customFormat="1" ht="24.95" customHeight="1"/>
    <row r="85" s="37" customFormat="1" ht="24.95" customHeight="1"/>
    <row r="86" s="37" customFormat="1" ht="24.95" customHeight="1"/>
    <row r="87" s="37" customFormat="1" ht="24.95" customHeight="1"/>
    <row r="88" s="37" customFormat="1" ht="24.95" customHeight="1"/>
    <row r="89" s="37" customFormat="1" ht="24.95" customHeight="1"/>
    <row r="90" s="37" customFormat="1" ht="24.95" customHeight="1"/>
    <row r="91" s="37" customFormat="1" ht="24.95" customHeight="1"/>
    <row r="92" s="37" customFormat="1" ht="24.95" customHeight="1"/>
    <row r="93" s="37" customFormat="1" ht="24.95" customHeight="1"/>
    <row r="94" s="51" customFormat="1" ht="24.95" customHeight="1"/>
    <row r="95" s="51" customFormat="1"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sheetData>
  <sheetProtection algorithmName="SHA-512" hashValue="dzFtL4KhkBZ8HofTFLgdF3eafhoGZWgs5F66RxjVsvdor7rUKVgZ7EI05PaDbhLuOf/ACXC2tKaWbKOHP2CFsQ==" saltValue="u6GhgUWgeRBjJ2LPsUZ9Bg==" spinCount="100000" sheet="1" objects="1" scenarios="1" selectLockedCells="1"/>
  <mergeCells count="293">
    <mergeCell ref="L34:M34"/>
    <mergeCell ref="L35:M35"/>
    <mergeCell ref="N34:O34"/>
    <mergeCell ref="N35:O35"/>
    <mergeCell ref="P34:Q34"/>
    <mergeCell ref="P35:Q35"/>
    <mergeCell ref="R34:S34"/>
    <mergeCell ref="R35:S35"/>
    <mergeCell ref="V34:W34"/>
    <mergeCell ref="V35:W35"/>
    <mergeCell ref="T34:U34"/>
    <mergeCell ref="T35:U35"/>
    <mergeCell ref="V12:W12"/>
    <mergeCell ref="V13:W13"/>
    <mergeCell ref="X12:Y12"/>
    <mergeCell ref="X13:Y13"/>
    <mergeCell ref="Z12:AA12"/>
    <mergeCell ref="Z13:AA13"/>
    <mergeCell ref="J26:M26"/>
    <mergeCell ref="N26:O26"/>
    <mergeCell ref="P26:Q26"/>
    <mergeCell ref="R26:S26"/>
    <mergeCell ref="T26:U26"/>
    <mergeCell ref="V26:W26"/>
    <mergeCell ref="X26:Y26"/>
    <mergeCell ref="Z26:AA26"/>
    <mergeCell ref="N12:O12"/>
    <mergeCell ref="N13:O13"/>
    <mergeCell ref="L12:M12"/>
    <mergeCell ref="L13:M13"/>
    <mergeCell ref="P12:Q12"/>
    <mergeCell ref="P13:Q13"/>
    <mergeCell ref="R12:S12"/>
    <mergeCell ref="R13:S13"/>
    <mergeCell ref="T12:U12"/>
    <mergeCell ref="T13:U13"/>
    <mergeCell ref="B12:C12"/>
    <mergeCell ref="B13:C13"/>
    <mergeCell ref="D12:E12"/>
    <mergeCell ref="D13:E13"/>
    <mergeCell ref="F12:G12"/>
    <mergeCell ref="F13:G13"/>
    <mergeCell ref="H12:I12"/>
    <mergeCell ref="H13:I13"/>
    <mergeCell ref="J12:K12"/>
    <mergeCell ref="J13:K13"/>
    <mergeCell ref="J34:K34"/>
    <mergeCell ref="J35:K35"/>
    <mergeCell ref="J27:M27"/>
    <mergeCell ref="J31:K32"/>
    <mergeCell ref="J28:U28"/>
    <mergeCell ref="J38:U38"/>
    <mergeCell ref="D6:E7"/>
    <mergeCell ref="F6:G7"/>
    <mergeCell ref="N6:O7"/>
    <mergeCell ref="P6:U6"/>
    <mergeCell ref="N8:O8"/>
    <mergeCell ref="P8:Q8"/>
    <mergeCell ref="T10:U10"/>
    <mergeCell ref="T14:U14"/>
    <mergeCell ref="T16:U16"/>
    <mergeCell ref="N25:O25"/>
    <mergeCell ref="P25:Q25"/>
    <mergeCell ref="R25:S25"/>
    <mergeCell ref="T25:U25"/>
    <mergeCell ref="J23:M24"/>
    <mergeCell ref="J25:M25"/>
    <mergeCell ref="L36:M36"/>
    <mergeCell ref="N36:O36"/>
    <mergeCell ref="P36:Q36"/>
    <mergeCell ref="J36:K36"/>
    <mergeCell ref="J33:K33"/>
    <mergeCell ref="B2:AA2"/>
    <mergeCell ref="R4:U4"/>
    <mergeCell ref="V4:W4"/>
    <mergeCell ref="X4:Y4"/>
    <mergeCell ref="B5:C7"/>
    <mergeCell ref="D5:G5"/>
    <mergeCell ref="H5:I7"/>
    <mergeCell ref="J5:K7"/>
    <mergeCell ref="L5:M7"/>
    <mergeCell ref="N5:U5"/>
    <mergeCell ref="J8:K8"/>
    <mergeCell ref="L8:M8"/>
    <mergeCell ref="R8:S8"/>
    <mergeCell ref="T8:U8"/>
    <mergeCell ref="V8:W8"/>
    <mergeCell ref="J10:K10"/>
    <mergeCell ref="L10:M10"/>
    <mergeCell ref="N10:O10"/>
    <mergeCell ref="P10:Q10"/>
    <mergeCell ref="R10:S10"/>
    <mergeCell ref="X8:Y8"/>
    <mergeCell ref="Z8:AA8"/>
    <mergeCell ref="AD6:AE6"/>
    <mergeCell ref="AH6:AI6"/>
    <mergeCell ref="AK6:AL6"/>
    <mergeCell ref="AN6:AO6"/>
    <mergeCell ref="P7:Q7"/>
    <mergeCell ref="R7:S7"/>
    <mergeCell ref="T7:U7"/>
    <mergeCell ref="V5:W7"/>
    <mergeCell ref="X5:Y7"/>
    <mergeCell ref="Z5:AA7"/>
    <mergeCell ref="B9:C9"/>
    <mergeCell ref="D9:E9"/>
    <mergeCell ref="F9:G9"/>
    <mergeCell ref="H9:I9"/>
    <mergeCell ref="J9:K9"/>
    <mergeCell ref="L9:M9"/>
    <mergeCell ref="N9:O9"/>
    <mergeCell ref="P9:Q9"/>
    <mergeCell ref="R9:S9"/>
    <mergeCell ref="T9:U9"/>
    <mergeCell ref="V9:W9"/>
    <mergeCell ref="X9:Y9"/>
    <mergeCell ref="Z9:AA9"/>
    <mergeCell ref="B8:C8"/>
    <mergeCell ref="D8:E8"/>
    <mergeCell ref="F8:G8"/>
    <mergeCell ref="H8:I8"/>
    <mergeCell ref="L14:M14"/>
    <mergeCell ref="N14:O14"/>
    <mergeCell ref="P14:Q14"/>
    <mergeCell ref="R14:S14"/>
    <mergeCell ref="V10:W10"/>
    <mergeCell ref="X10:Y10"/>
    <mergeCell ref="Z10:AA10"/>
    <mergeCell ref="B11:C11"/>
    <mergeCell ref="D11:E11"/>
    <mergeCell ref="F11:G11"/>
    <mergeCell ref="H11:I11"/>
    <mergeCell ref="J11:K11"/>
    <mergeCell ref="L11:M11"/>
    <mergeCell ref="N11:O11"/>
    <mergeCell ref="P11:Q11"/>
    <mergeCell ref="R11:S11"/>
    <mergeCell ref="T11:U11"/>
    <mergeCell ref="V11:W11"/>
    <mergeCell ref="X11:Y11"/>
    <mergeCell ref="Z11:AA11"/>
    <mergeCell ref="B10:C10"/>
    <mergeCell ref="D10:E10"/>
    <mergeCell ref="F10:G10"/>
    <mergeCell ref="H10:I10"/>
    <mergeCell ref="N16:O16"/>
    <mergeCell ref="P16:Q16"/>
    <mergeCell ref="R16:S16"/>
    <mergeCell ref="V14:W14"/>
    <mergeCell ref="X14:Y14"/>
    <mergeCell ref="Z14:AA14"/>
    <mergeCell ref="B15:C15"/>
    <mergeCell ref="D15:E15"/>
    <mergeCell ref="F15:G15"/>
    <mergeCell ref="H15:I15"/>
    <mergeCell ref="J15:K15"/>
    <mergeCell ref="L15:M15"/>
    <mergeCell ref="N15:O15"/>
    <mergeCell ref="P15:Q15"/>
    <mergeCell ref="R15:S15"/>
    <mergeCell ref="T15:U15"/>
    <mergeCell ref="V15:W15"/>
    <mergeCell ref="X15:Y15"/>
    <mergeCell ref="Z15:AA15"/>
    <mergeCell ref="B14:C14"/>
    <mergeCell ref="D14:E14"/>
    <mergeCell ref="F14:G14"/>
    <mergeCell ref="H14:I14"/>
    <mergeCell ref="J14:K14"/>
    <mergeCell ref="Z18:AA18"/>
    <mergeCell ref="X18:Y18"/>
    <mergeCell ref="V16:W16"/>
    <mergeCell ref="X16:Y16"/>
    <mergeCell ref="Z16:AA16"/>
    <mergeCell ref="B17:C17"/>
    <mergeCell ref="D17:E17"/>
    <mergeCell ref="F17:G17"/>
    <mergeCell ref="H17:I17"/>
    <mergeCell ref="J17:K17"/>
    <mergeCell ref="L17:M17"/>
    <mergeCell ref="N17:O17"/>
    <mergeCell ref="P17:Q17"/>
    <mergeCell ref="R17:S17"/>
    <mergeCell ref="T17:U17"/>
    <mergeCell ref="V17:W17"/>
    <mergeCell ref="X17:Y17"/>
    <mergeCell ref="Z17:AA17"/>
    <mergeCell ref="B16:C16"/>
    <mergeCell ref="D16:E16"/>
    <mergeCell ref="F16:G16"/>
    <mergeCell ref="H16:I16"/>
    <mergeCell ref="J16:K16"/>
    <mergeCell ref="L16:M16"/>
    <mergeCell ref="R18:S18"/>
    <mergeCell ref="T18:U18"/>
    <mergeCell ref="V18:W18"/>
    <mergeCell ref="B18:C18"/>
    <mergeCell ref="D18:E18"/>
    <mergeCell ref="F18:G18"/>
    <mergeCell ref="H18:I18"/>
    <mergeCell ref="J18:K18"/>
    <mergeCell ref="L18:M18"/>
    <mergeCell ref="N18:O18"/>
    <mergeCell ref="P18:Q18"/>
    <mergeCell ref="X19:Y19"/>
    <mergeCell ref="Z19:AA19"/>
    <mergeCell ref="B20:U20"/>
    <mergeCell ref="V20:W20"/>
    <mergeCell ref="X20:Y20"/>
    <mergeCell ref="Z20:AA20"/>
    <mergeCell ref="L19:M19"/>
    <mergeCell ref="N19:O19"/>
    <mergeCell ref="P19:Q19"/>
    <mergeCell ref="R19:S19"/>
    <mergeCell ref="B19:C19"/>
    <mergeCell ref="D19:E19"/>
    <mergeCell ref="F19:G19"/>
    <mergeCell ref="H19:I19"/>
    <mergeCell ref="J19:K19"/>
    <mergeCell ref="T19:U19"/>
    <mergeCell ref="V19:W19"/>
    <mergeCell ref="AN21:AO21"/>
    <mergeCell ref="N23:Q23"/>
    <mergeCell ref="R23:S24"/>
    <mergeCell ref="T23:U24"/>
    <mergeCell ref="V23:W24"/>
    <mergeCell ref="X23:Y24"/>
    <mergeCell ref="Z23:AA24"/>
    <mergeCell ref="AN23:AO23"/>
    <mergeCell ref="N24:O24"/>
    <mergeCell ref="P24:Q24"/>
    <mergeCell ref="V25:W25"/>
    <mergeCell ref="X25:Y25"/>
    <mergeCell ref="Z25:AA25"/>
    <mergeCell ref="N27:O27"/>
    <mergeCell ref="P27:Q27"/>
    <mergeCell ref="R27:S27"/>
    <mergeCell ref="T27:U27"/>
    <mergeCell ref="V27:W27"/>
    <mergeCell ref="X27:Y27"/>
    <mergeCell ref="Z27:AA27"/>
    <mergeCell ref="V28:W28"/>
    <mergeCell ref="X28:Y28"/>
    <mergeCell ref="Z28:AA28"/>
    <mergeCell ref="L31:M32"/>
    <mergeCell ref="N31:O32"/>
    <mergeCell ref="P31:Q32"/>
    <mergeCell ref="R31:S32"/>
    <mergeCell ref="T31:U32"/>
    <mergeCell ref="L33:M33"/>
    <mergeCell ref="N33:O33"/>
    <mergeCell ref="P33:Q33"/>
    <mergeCell ref="R33:S33"/>
    <mergeCell ref="T33:U33"/>
    <mergeCell ref="V33:W33"/>
    <mergeCell ref="X36:Y36"/>
    <mergeCell ref="Z36:AA36"/>
    <mergeCell ref="V31:W32"/>
    <mergeCell ref="X31:Y32"/>
    <mergeCell ref="Z31:AA32"/>
    <mergeCell ref="X33:Y33"/>
    <mergeCell ref="R37:S37"/>
    <mergeCell ref="T37:U37"/>
    <mergeCell ref="V37:W37"/>
    <mergeCell ref="Z33:AA33"/>
    <mergeCell ref="R36:S36"/>
    <mergeCell ref="T36:U36"/>
    <mergeCell ref="V36:W36"/>
    <mergeCell ref="X37:Y37"/>
    <mergeCell ref="Z37:AA37"/>
    <mergeCell ref="X34:Y34"/>
    <mergeCell ref="X35:Y35"/>
    <mergeCell ref="Z34:AA34"/>
    <mergeCell ref="Z35:AA35"/>
    <mergeCell ref="V38:W38"/>
    <mergeCell ref="X38:Y38"/>
    <mergeCell ref="Z38:AA38"/>
    <mergeCell ref="L37:M37"/>
    <mergeCell ref="N37:O37"/>
    <mergeCell ref="P37:Q37"/>
    <mergeCell ref="J37:K37"/>
    <mergeCell ref="D44:J44"/>
    <mergeCell ref="W44:Y44"/>
    <mergeCell ref="B41:C44"/>
    <mergeCell ref="D41:J41"/>
    <mergeCell ref="L41:N41"/>
    <mergeCell ref="Q41:R41"/>
    <mergeCell ref="U41:V41"/>
    <mergeCell ref="Y41:Z41"/>
    <mergeCell ref="D42:J42"/>
    <mergeCell ref="W42:Y42"/>
    <mergeCell ref="D43:J43"/>
    <mergeCell ref="W43:Y43"/>
  </mergeCells>
  <phoneticPr fontId="2"/>
  <conditionalFormatting sqref="V20:W20">
    <cfRule type="expression" dxfId="106" priority="51" stopIfTrue="1">
      <formula>$V$20=0</formula>
    </cfRule>
  </conditionalFormatting>
  <conditionalFormatting sqref="X20:Y20">
    <cfRule type="expression" dxfId="105" priority="50" stopIfTrue="1">
      <formula>$X$20=0</formula>
    </cfRule>
  </conditionalFormatting>
  <conditionalFormatting sqref="Z20:AA20">
    <cfRule type="expression" dxfId="104" priority="49" stopIfTrue="1">
      <formula>$Z$20=0</formula>
    </cfRule>
  </conditionalFormatting>
  <conditionalFormatting sqref="V28:W28">
    <cfRule type="expression" dxfId="103" priority="48" stopIfTrue="1">
      <formula>$V$28:$W$28=0</formula>
    </cfRule>
  </conditionalFormatting>
  <conditionalFormatting sqref="V38:W38">
    <cfRule type="expression" dxfId="102" priority="47" stopIfTrue="1">
      <formula>$V$38:$W$38=0</formula>
    </cfRule>
  </conditionalFormatting>
  <conditionalFormatting sqref="Y41:Z41">
    <cfRule type="expression" dxfId="101" priority="46" stopIfTrue="1">
      <formula>$Y$41=0</formula>
    </cfRule>
  </conditionalFormatting>
  <conditionalFormatting sqref="Q41:R41">
    <cfRule type="expression" dxfId="100" priority="45" stopIfTrue="1">
      <formula>$Q$41=0</formula>
    </cfRule>
  </conditionalFormatting>
  <conditionalFormatting sqref="U41:V41">
    <cfRule type="expression" dxfId="99" priority="44" stopIfTrue="1">
      <formula>$U$41=0</formula>
    </cfRule>
  </conditionalFormatting>
  <conditionalFormatting sqref="L41:N41">
    <cfRule type="expression" dxfId="98" priority="43" stopIfTrue="1">
      <formula>$L$41=0</formula>
    </cfRule>
  </conditionalFormatting>
  <conditionalFormatting sqref="X8:Y8">
    <cfRule type="expression" dxfId="97" priority="41" stopIfTrue="1">
      <formula>#VALUE!</formula>
    </cfRule>
    <cfRule type="expression" dxfId="96" priority="42" stopIfTrue="1">
      <formula>#VALUE!</formula>
    </cfRule>
  </conditionalFormatting>
  <conditionalFormatting sqref="X19:Y19">
    <cfRule type="expression" dxfId="95" priority="40" stopIfTrue="1">
      <formula>#VALUE!</formula>
    </cfRule>
  </conditionalFormatting>
  <conditionalFormatting sqref="X8:Y8">
    <cfRule type="expression" dxfId="94" priority="28" stopIfTrue="1">
      <formula>#VALUE!</formula>
    </cfRule>
    <cfRule type="expression" dxfId="93" priority="29" stopIfTrue="1">
      <formula>#VALUE!</formula>
    </cfRule>
  </conditionalFormatting>
  <conditionalFormatting sqref="X19:Y19">
    <cfRule type="expression" dxfId="92" priority="27" stopIfTrue="1">
      <formula>#VALUE!</formula>
    </cfRule>
  </conditionalFormatting>
  <conditionalFormatting sqref="X28:Y28">
    <cfRule type="expression" dxfId="91" priority="26" stopIfTrue="1">
      <formula>$X$28:$Y$28=0</formula>
    </cfRule>
  </conditionalFormatting>
  <conditionalFormatting sqref="Z28:AA28">
    <cfRule type="expression" dxfId="90" priority="25" stopIfTrue="1">
      <formula>$Z$28:$AA$28=0</formula>
    </cfRule>
  </conditionalFormatting>
  <conditionalFormatting sqref="X38:Y38">
    <cfRule type="expression" dxfId="89" priority="24" stopIfTrue="1">
      <formula>$X$38:$Y$38=0</formula>
    </cfRule>
  </conditionalFormatting>
  <conditionalFormatting sqref="Z38:AA38">
    <cfRule type="expression" dxfId="88" priority="23" stopIfTrue="1">
      <formula>$Z$38:$AA$38=0</formula>
    </cfRule>
  </conditionalFormatting>
  <conditionalFormatting sqref="P8:U8">
    <cfRule type="expression" dxfId="87" priority="12" stopIfTrue="1">
      <formula>$AG$8=TRUE</formula>
    </cfRule>
  </conditionalFormatting>
  <conditionalFormatting sqref="P15:U15">
    <cfRule type="expression" dxfId="86" priority="11" stopIfTrue="1">
      <formula>$AG$15=TRUE</formula>
    </cfRule>
  </conditionalFormatting>
  <conditionalFormatting sqref="P16:U16">
    <cfRule type="expression" dxfId="85" priority="10" stopIfTrue="1">
      <formula>$AG$16=TRUE</formula>
    </cfRule>
  </conditionalFormatting>
  <conditionalFormatting sqref="P17:U17">
    <cfRule type="expression" dxfId="84" priority="9" stopIfTrue="1">
      <formula>$AG$17=TRUE</formula>
    </cfRule>
  </conditionalFormatting>
  <conditionalFormatting sqref="P18:U18">
    <cfRule type="expression" dxfId="83" priority="8" stopIfTrue="1">
      <formula>$AG$18=TRUE</formula>
    </cfRule>
  </conditionalFormatting>
  <conditionalFormatting sqref="P19:U19">
    <cfRule type="expression" dxfId="82" priority="7" stopIfTrue="1">
      <formula>$AG$19=TRUE</formula>
    </cfRule>
  </conditionalFormatting>
  <conditionalFormatting sqref="P10:U10">
    <cfRule type="expression" dxfId="81" priority="6" stopIfTrue="1">
      <formula>$AG$10=TRUE</formula>
    </cfRule>
  </conditionalFormatting>
  <conditionalFormatting sqref="P11:U11">
    <cfRule type="expression" dxfId="80" priority="5" stopIfTrue="1">
      <formula>$AG$11=TRUE</formula>
    </cfRule>
  </conditionalFormatting>
  <conditionalFormatting sqref="P14:U14">
    <cfRule type="expression" dxfId="79" priority="4" stopIfTrue="1">
      <formula>$AG$14=TRUE</formula>
    </cfRule>
  </conditionalFormatting>
  <conditionalFormatting sqref="P9:U9">
    <cfRule type="expression" dxfId="78" priority="3" stopIfTrue="1">
      <formula>$AG$9=TRUE</formula>
    </cfRule>
  </conditionalFormatting>
  <conditionalFormatting sqref="P12:U12">
    <cfRule type="expression" dxfId="77" priority="2">
      <formula>$AG$12=TRUE</formula>
    </cfRule>
  </conditionalFormatting>
  <conditionalFormatting sqref="P13:U13">
    <cfRule type="expression" dxfId="76" priority="1">
      <formula>$AG$13=TRUE</formula>
    </cfRule>
  </conditionalFormatting>
  <dataValidations count="1">
    <dataValidation type="list" allowBlank="1" showInputMessage="1" showErrorMessage="1" sqref="M14:M19 L8:L19 M8:M11 T25:T27 U25 U27">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88" orientation="portrait" horizontalDpi="300" verticalDpi="300" r:id="rId1"/>
  <headerFooter>
    <oddHeader>&amp;Rver. 1.7[H28]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0353" r:id="rId4" name="Check Box 1">
              <controlPr defaultSize="0" autoFill="0" autoLine="0" autoPict="0">
                <anchor moveWithCells="1">
                  <from>
                    <xdr:col>13</xdr:col>
                    <xdr:colOff>190500</xdr:colOff>
                    <xdr:row>7</xdr:row>
                    <xdr:rowOff>47625</xdr:rowOff>
                  </from>
                  <to>
                    <xdr:col>14</xdr:col>
                    <xdr:colOff>200025</xdr:colOff>
                    <xdr:row>7</xdr:row>
                    <xdr:rowOff>257175</xdr:rowOff>
                  </to>
                </anchor>
              </controlPr>
            </control>
          </mc:Choice>
        </mc:AlternateContent>
        <mc:AlternateContent xmlns:mc="http://schemas.openxmlformats.org/markup-compatibility/2006">
          <mc:Choice Requires="x14">
            <control shapeId="100354" r:id="rId5" name="Check Box 2">
              <controlPr defaultSize="0" autoFill="0" autoLine="0" autoPict="0">
                <anchor moveWithCells="1">
                  <from>
                    <xdr:col>13</xdr:col>
                    <xdr:colOff>190500</xdr:colOff>
                    <xdr:row>8</xdr:row>
                    <xdr:rowOff>47625</xdr:rowOff>
                  </from>
                  <to>
                    <xdr:col>14</xdr:col>
                    <xdr:colOff>200025</xdr:colOff>
                    <xdr:row>8</xdr:row>
                    <xdr:rowOff>257175</xdr:rowOff>
                  </to>
                </anchor>
              </controlPr>
            </control>
          </mc:Choice>
        </mc:AlternateContent>
        <mc:AlternateContent xmlns:mc="http://schemas.openxmlformats.org/markup-compatibility/2006">
          <mc:Choice Requires="x14">
            <control shapeId="100355" r:id="rId6" name="Check Box 3">
              <controlPr defaultSize="0" autoFill="0" autoLine="0" autoPict="0">
                <anchor moveWithCells="1">
                  <from>
                    <xdr:col>13</xdr:col>
                    <xdr:colOff>190500</xdr:colOff>
                    <xdr:row>14</xdr:row>
                    <xdr:rowOff>47625</xdr:rowOff>
                  </from>
                  <to>
                    <xdr:col>14</xdr:col>
                    <xdr:colOff>200025</xdr:colOff>
                    <xdr:row>14</xdr:row>
                    <xdr:rowOff>257175</xdr:rowOff>
                  </to>
                </anchor>
              </controlPr>
            </control>
          </mc:Choice>
        </mc:AlternateContent>
        <mc:AlternateContent xmlns:mc="http://schemas.openxmlformats.org/markup-compatibility/2006">
          <mc:Choice Requires="x14">
            <control shapeId="100356" r:id="rId7" name="Check Box 4">
              <controlPr defaultSize="0" autoFill="0" autoLine="0" autoPict="0">
                <anchor moveWithCells="1">
                  <from>
                    <xdr:col>13</xdr:col>
                    <xdr:colOff>190500</xdr:colOff>
                    <xdr:row>15</xdr:row>
                    <xdr:rowOff>47625</xdr:rowOff>
                  </from>
                  <to>
                    <xdr:col>14</xdr:col>
                    <xdr:colOff>200025</xdr:colOff>
                    <xdr:row>15</xdr:row>
                    <xdr:rowOff>257175</xdr:rowOff>
                  </to>
                </anchor>
              </controlPr>
            </control>
          </mc:Choice>
        </mc:AlternateContent>
        <mc:AlternateContent xmlns:mc="http://schemas.openxmlformats.org/markup-compatibility/2006">
          <mc:Choice Requires="x14">
            <control shapeId="100357" r:id="rId8" name="Check Box 5">
              <controlPr defaultSize="0" autoFill="0" autoLine="0" autoPict="0">
                <anchor moveWithCells="1">
                  <from>
                    <xdr:col>13</xdr:col>
                    <xdr:colOff>190500</xdr:colOff>
                    <xdr:row>16</xdr:row>
                    <xdr:rowOff>47625</xdr:rowOff>
                  </from>
                  <to>
                    <xdr:col>14</xdr:col>
                    <xdr:colOff>200025</xdr:colOff>
                    <xdr:row>16</xdr:row>
                    <xdr:rowOff>257175</xdr:rowOff>
                  </to>
                </anchor>
              </controlPr>
            </control>
          </mc:Choice>
        </mc:AlternateContent>
        <mc:AlternateContent xmlns:mc="http://schemas.openxmlformats.org/markup-compatibility/2006">
          <mc:Choice Requires="x14">
            <control shapeId="100358" r:id="rId9" name="Check Box 6">
              <controlPr defaultSize="0" autoFill="0" autoLine="0" autoPict="0">
                <anchor moveWithCells="1">
                  <from>
                    <xdr:col>13</xdr:col>
                    <xdr:colOff>190500</xdr:colOff>
                    <xdr:row>17</xdr:row>
                    <xdr:rowOff>47625</xdr:rowOff>
                  </from>
                  <to>
                    <xdr:col>14</xdr:col>
                    <xdr:colOff>200025</xdr:colOff>
                    <xdr:row>17</xdr:row>
                    <xdr:rowOff>257175</xdr:rowOff>
                  </to>
                </anchor>
              </controlPr>
            </control>
          </mc:Choice>
        </mc:AlternateContent>
        <mc:AlternateContent xmlns:mc="http://schemas.openxmlformats.org/markup-compatibility/2006">
          <mc:Choice Requires="x14">
            <control shapeId="100359" r:id="rId10" name="Check Box 7">
              <controlPr defaultSize="0" autoFill="0" autoLine="0" autoPict="0">
                <anchor moveWithCells="1">
                  <from>
                    <xdr:col>13</xdr:col>
                    <xdr:colOff>190500</xdr:colOff>
                    <xdr:row>18</xdr:row>
                    <xdr:rowOff>47625</xdr:rowOff>
                  </from>
                  <to>
                    <xdr:col>14</xdr:col>
                    <xdr:colOff>200025</xdr:colOff>
                    <xdr:row>18</xdr:row>
                    <xdr:rowOff>257175</xdr:rowOff>
                  </to>
                </anchor>
              </controlPr>
            </control>
          </mc:Choice>
        </mc:AlternateContent>
        <mc:AlternateContent xmlns:mc="http://schemas.openxmlformats.org/markup-compatibility/2006">
          <mc:Choice Requires="x14">
            <control shapeId="100360" r:id="rId11" name="Check Box 8">
              <controlPr defaultSize="0" autoFill="0" autoLine="0" autoPict="0">
                <anchor moveWithCells="1">
                  <from>
                    <xdr:col>13</xdr:col>
                    <xdr:colOff>190500</xdr:colOff>
                    <xdr:row>9</xdr:row>
                    <xdr:rowOff>47625</xdr:rowOff>
                  </from>
                  <to>
                    <xdr:col>14</xdr:col>
                    <xdr:colOff>200025</xdr:colOff>
                    <xdr:row>9</xdr:row>
                    <xdr:rowOff>257175</xdr:rowOff>
                  </to>
                </anchor>
              </controlPr>
            </control>
          </mc:Choice>
        </mc:AlternateContent>
        <mc:AlternateContent xmlns:mc="http://schemas.openxmlformats.org/markup-compatibility/2006">
          <mc:Choice Requires="x14">
            <control shapeId="100361" r:id="rId12" name="Check Box 9">
              <controlPr defaultSize="0" autoFill="0" autoLine="0" autoPict="0">
                <anchor moveWithCells="1">
                  <from>
                    <xdr:col>13</xdr:col>
                    <xdr:colOff>190500</xdr:colOff>
                    <xdr:row>10</xdr:row>
                    <xdr:rowOff>47625</xdr:rowOff>
                  </from>
                  <to>
                    <xdr:col>14</xdr:col>
                    <xdr:colOff>200025</xdr:colOff>
                    <xdr:row>10</xdr:row>
                    <xdr:rowOff>257175</xdr:rowOff>
                  </to>
                </anchor>
              </controlPr>
            </control>
          </mc:Choice>
        </mc:AlternateContent>
        <mc:AlternateContent xmlns:mc="http://schemas.openxmlformats.org/markup-compatibility/2006">
          <mc:Choice Requires="x14">
            <control shapeId="100362" r:id="rId13" name="Check Box 10">
              <controlPr defaultSize="0" autoFill="0" autoLine="0" autoPict="0">
                <anchor moveWithCells="1">
                  <from>
                    <xdr:col>13</xdr:col>
                    <xdr:colOff>190500</xdr:colOff>
                    <xdr:row>13</xdr:row>
                    <xdr:rowOff>47625</xdr:rowOff>
                  </from>
                  <to>
                    <xdr:col>14</xdr:col>
                    <xdr:colOff>200025</xdr:colOff>
                    <xdr:row>13</xdr:row>
                    <xdr:rowOff>257175</xdr:rowOff>
                  </to>
                </anchor>
              </controlPr>
            </control>
          </mc:Choice>
        </mc:AlternateContent>
        <mc:AlternateContent xmlns:mc="http://schemas.openxmlformats.org/markup-compatibility/2006">
          <mc:Choice Requires="x14">
            <control shapeId="100375" r:id="rId14" name="Check Box 23">
              <controlPr defaultSize="0" autoFill="0" autoLine="0" autoPict="0">
                <anchor moveWithCells="1">
                  <from>
                    <xdr:col>19</xdr:col>
                    <xdr:colOff>190500</xdr:colOff>
                    <xdr:row>32</xdr:row>
                    <xdr:rowOff>47625</xdr:rowOff>
                  </from>
                  <to>
                    <xdr:col>20</xdr:col>
                    <xdr:colOff>200025</xdr:colOff>
                    <xdr:row>32</xdr:row>
                    <xdr:rowOff>257175</xdr:rowOff>
                  </to>
                </anchor>
              </controlPr>
            </control>
          </mc:Choice>
        </mc:AlternateContent>
        <mc:AlternateContent xmlns:mc="http://schemas.openxmlformats.org/markup-compatibility/2006">
          <mc:Choice Requires="x14">
            <control shapeId="100376" r:id="rId15" name="Check Box 24">
              <controlPr defaultSize="0" autoFill="0" autoLine="0" autoPict="0">
                <anchor moveWithCells="1">
                  <from>
                    <xdr:col>19</xdr:col>
                    <xdr:colOff>190500</xdr:colOff>
                    <xdr:row>35</xdr:row>
                    <xdr:rowOff>47625</xdr:rowOff>
                  </from>
                  <to>
                    <xdr:col>20</xdr:col>
                    <xdr:colOff>200025</xdr:colOff>
                    <xdr:row>35</xdr:row>
                    <xdr:rowOff>257175</xdr:rowOff>
                  </to>
                </anchor>
              </controlPr>
            </control>
          </mc:Choice>
        </mc:AlternateContent>
        <mc:AlternateContent xmlns:mc="http://schemas.openxmlformats.org/markup-compatibility/2006">
          <mc:Choice Requires="x14">
            <control shapeId="100377" r:id="rId16" name="Check Box 25">
              <controlPr defaultSize="0" autoFill="0" autoLine="0" autoPict="0">
                <anchor moveWithCells="1">
                  <from>
                    <xdr:col>19</xdr:col>
                    <xdr:colOff>190500</xdr:colOff>
                    <xdr:row>36</xdr:row>
                    <xdr:rowOff>47625</xdr:rowOff>
                  </from>
                  <to>
                    <xdr:col>20</xdr:col>
                    <xdr:colOff>200025</xdr:colOff>
                    <xdr:row>36</xdr:row>
                    <xdr:rowOff>257175</xdr:rowOff>
                  </to>
                </anchor>
              </controlPr>
            </control>
          </mc:Choice>
        </mc:AlternateContent>
        <mc:AlternateContent xmlns:mc="http://schemas.openxmlformats.org/markup-compatibility/2006">
          <mc:Choice Requires="x14">
            <control shapeId="100387" r:id="rId17" name="Check Box 35">
              <controlPr defaultSize="0" autoFill="0" autoLine="0" autoPict="0">
                <anchor moveWithCells="1">
                  <from>
                    <xdr:col>13</xdr:col>
                    <xdr:colOff>190500</xdr:colOff>
                    <xdr:row>11</xdr:row>
                    <xdr:rowOff>47625</xdr:rowOff>
                  </from>
                  <to>
                    <xdr:col>14</xdr:col>
                    <xdr:colOff>200025</xdr:colOff>
                    <xdr:row>11</xdr:row>
                    <xdr:rowOff>257175</xdr:rowOff>
                  </to>
                </anchor>
              </controlPr>
            </control>
          </mc:Choice>
        </mc:AlternateContent>
        <mc:AlternateContent xmlns:mc="http://schemas.openxmlformats.org/markup-compatibility/2006">
          <mc:Choice Requires="x14">
            <control shapeId="100388" r:id="rId18" name="Check Box 36">
              <controlPr defaultSize="0" autoFill="0" autoLine="0" autoPict="0">
                <anchor moveWithCells="1">
                  <from>
                    <xdr:col>13</xdr:col>
                    <xdr:colOff>190500</xdr:colOff>
                    <xdr:row>12</xdr:row>
                    <xdr:rowOff>47625</xdr:rowOff>
                  </from>
                  <to>
                    <xdr:col>14</xdr:col>
                    <xdr:colOff>200025</xdr:colOff>
                    <xdr:row>12</xdr:row>
                    <xdr:rowOff>257175</xdr:rowOff>
                  </to>
                </anchor>
              </controlPr>
            </control>
          </mc:Choice>
        </mc:AlternateContent>
        <mc:AlternateContent xmlns:mc="http://schemas.openxmlformats.org/markup-compatibility/2006">
          <mc:Choice Requires="x14">
            <control shapeId="100389" r:id="rId19" name="Check Box 37">
              <controlPr defaultSize="0" autoFill="0" autoLine="0" autoPict="0">
                <anchor moveWithCells="1">
                  <from>
                    <xdr:col>19</xdr:col>
                    <xdr:colOff>190500</xdr:colOff>
                    <xdr:row>33</xdr:row>
                    <xdr:rowOff>47625</xdr:rowOff>
                  </from>
                  <to>
                    <xdr:col>20</xdr:col>
                    <xdr:colOff>200025</xdr:colOff>
                    <xdr:row>33</xdr:row>
                    <xdr:rowOff>257175</xdr:rowOff>
                  </to>
                </anchor>
              </controlPr>
            </control>
          </mc:Choice>
        </mc:AlternateContent>
        <mc:AlternateContent xmlns:mc="http://schemas.openxmlformats.org/markup-compatibility/2006">
          <mc:Choice Requires="x14">
            <control shapeId="100391" r:id="rId20" name="Check Box 39">
              <controlPr defaultSize="0" autoFill="0" autoLine="0" autoPict="0">
                <anchor moveWithCells="1">
                  <from>
                    <xdr:col>19</xdr:col>
                    <xdr:colOff>190500</xdr:colOff>
                    <xdr:row>34</xdr:row>
                    <xdr:rowOff>47625</xdr:rowOff>
                  </from>
                  <to>
                    <xdr:col>20</xdr:col>
                    <xdr:colOff>200025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14</vt:i4>
      </vt:variant>
    </vt:vector>
  </HeadingPairs>
  <TitlesOfParts>
    <vt:vector size="32" baseType="lpstr">
      <vt:lpstr>はじめに（お読みください）</vt:lpstr>
      <vt:lpstr>共通条件・結果</vt:lpstr>
      <vt:lpstr>部位U計算</vt:lpstr>
      <vt:lpstr>Ａ（東）</vt:lpstr>
      <vt:lpstr>Ａ（西）</vt:lpstr>
      <vt:lpstr>Ａ（南）</vt:lpstr>
      <vt:lpstr>Ａ（北）</vt:lpstr>
      <vt:lpstr>Ａ（北東）</vt:lpstr>
      <vt:lpstr>Ａ（南東）</vt:lpstr>
      <vt:lpstr>Ａ（南西）</vt:lpstr>
      <vt:lpstr>Ａ（北西）</vt:lpstr>
      <vt:lpstr>Ｂ（屋根・床等）</vt:lpstr>
      <vt:lpstr>Ｃ（基礎）</vt:lpstr>
      <vt:lpstr>更新履歴</vt:lpstr>
      <vt:lpstr>AFGC更新履歴</vt:lpstr>
      <vt:lpstr>DATAｼｰﾄ</vt:lpstr>
      <vt:lpstr>(参照）窓データシート</vt:lpstr>
      <vt:lpstr>モデル住宅図面</vt:lpstr>
      <vt:lpstr>'Ａ（西）'!Print_Area</vt:lpstr>
      <vt:lpstr>'Ａ（東）'!Print_Area</vt:lpstr>
      <vt:lpstr>'Ａ（南）'!Print_Area</vt:lpstr>
      <vt:lpstr>'Ａ（南西）'!Print_Area</vt:lpstr>
      <vt:lpstr>'Ａ（南東）'!Print_Area</vt:lpstr>
      <vt:lpstr>'Ａ（北）'!Print_Area</vt:lpstr>
      <vt:lpstr>'Ａ（北西）'!Print_Area</vt:lpstr>
      <vt:lpstr>'Ａ（北東）'!Print_Area</vt:lpstr>
      <vt:lpstr>'Ｂ（屋根・床等）'!Print_Area</vt:lpstr>
      <vt:lpstr>'Ｃ（基礎）'!Print_Area</vt:lpstr>
      <vt:lpstr>'はじめに（お読みください）'!Print_Area</vt:lpstr>
      <vt:lpstr>共通条件・結果!Print_Area</vt:lpstr>
      <vt:lpstr>更新履歴!Print_Area</vt:lpstr>
      <vt:lpstr>部位U計算!Print_Area</vt:lpstr>
    </vt:vector>
  </TitlesOfParts>
  <Company>評価センター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　卓三</dc:creator>
  <cp:lastModifiedBy>深川 里香</cp:lastModifiedBy>
  <cp:lastPrinted>2020-01-27T08:53:47Z</cp:lastPrinted>
  <dcterms:created xsi:type="dcterms:W3CDTF">2001-06-12T05:58:42Z</dcterms:created>
  <dcterms:modified xsi:type="dcterms:W3CDTF">2021-01-08T01:56:54Z</dcterms:modified>
</cp:coreProperties>
</file>